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3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44" i="1" l="1"/>
  <c r="I17" i="1"/>
  <c r="I36" i="1"/>
  <c r="I51" i="1"/>
  <c r="I79" i="1"/>
  <c r="I117" i="1"/>
  <c r="I142" i="1"/>
  <c r="H137" i="1"/>
  <c r="F137" i="1"/>
  <c r="F6" i="1"/>
  <c r="H67" i="1"/>
  <c r="F67" i="1"/>
  <c r="H66" i="1"/>
  <c r="F66" i="1"/>
  <c r="H63" i="1"/>
  <c r="F63" i="1"/>
  <c r="H87" i="1"/>
  <c r="F87" i="1"/>
  <c r="I87" i="1" s="1"/>
  <c r="H116" i="1"/>
  <c r="F116" i="1"/>
  <c r="H96" i="1"/>
  <c r="F96" i="1"/>
  <c r="H100" i="1"/>
  <c r="F100" i="1"/>
  <c r="H56" i="1"/>
  <c r="F56" i="1"/>
  <c r="I131" i="1"/>
  <c r="H131" i="1"/>
  <c r="F131" i="1"/>
  <c r="H72" i="1"/>
  <c r="F72" i="1"/>
  <c r="H114" i="1"/>
  <c r="F114" i="1"/>
  <c r="H54" i="1"/>
  <c r="I67" i="1" l="1"/>
  <c r="I66" i="1"/>
  <c r="I56" i="1"/>
  <c r="H53" i="1"/>
  <c r="F53" i="1"/>
  <c r="I41" i="1"/>
  <c r="H41" i="1"/>
  <c r="F41" i="1"/>
  <c r="H40" i="1"/>
  <c r="I141" i="1" l="1"/>
  <c r="H141" i="1"/>
  <c r="H113" i="1"/>
  <c r="F113" i="1"/>
  <c r="H69" i="1" l="1"/>
  <c r="F69" i="1"/>
  <c r="H61" i="1"/>
  <c r="F61" i="1"/>
  <c r="H55" i="1"/>
  <c r="F55" i="1"/>
  <c r="I140" i="1"/>
  <c r="H140" i="1"/>
  <c r="H21" i="1"/>
  <c r="F21" i="1"/>
  <c r="F136" i="1"/>
  <c r="H138" i="1"/>
  <c r="F138" i="1"/>
  <c r="H64" i="1"/>
  <c r="H65" i="1"/>
  <c r="I65" i="1" s="1"/>
  <c r="I64" i="1"/>
  <c r="F64" i="1"/>
  <c r="I63" i="1"/>
  <c r="H68" i="1"/>
  <c r="I68" i="1" s="1"/>
  <c r="F68" i="1"/>
  <c r="F135" i="1"/>
  <c r="I102" i="1"/>
  <c r="H102" i="1"/>
  <c r="F102" i="1"/>
  <c r="I112" i="1" l="1"/>
  <c r="H112" i="1"/>
  <c r="F112" i="1"/>
  <c r="F54" i="1" l="1"/>
  <c r="I138" i="1"/>
  <c r="I136" i="1"/>
  <c r="I135" i="1"/>
  <c r="I137" i="1" l="1"/>
  <c r="I129" i="1" l="1"/>
  <c r="I6" i="1" l="1"/>
  <c r="I143" i="1" s="1"/>
  <c r="I21" i="1"/>
  <c r="I69" i="1"/>
  <c r="I121" i="1"/>
  <c r="I96" i="1"/>
  <c r="I40" i="1" l="1"/>
  <c r="I133" i="1"/>
  <c r="I100" i="1"/>
  <c r="I53" i="1"/>
  <c r="I124" i="1"/>
  <c r="I123" i="1"/>
  <c r="I105" i="1" l="1"/>
  <c r="I94" i="1" l="1"/>
  <c r="I113" i="1"/>
  <c r="I72" i="1"/>
  <c r="I61" i="1"/>
  <c r="I116" i="1" l="1"/>
  <c r="I132" i="1"/>
  <c r="I54" i="1" l="1"/>
  <c r="I55" i="1" l="1"/>
  <c r="I114" i="1"/>
  <c r="I120" i="1" l="1"/>
</calcChain>
</file>

<file path=xl/sharedStrings.xml><?xml version="1.0" encoding="utf-8"?>
<sst xmlns="http://schemas.openxmlformats.org/spreadsheetml/2006/main" count="607" uniqueCount="212">
  <si>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</si>
  <si>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</si>
  <si>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</si>
  <si>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</si>
  <si>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</si>
  <si>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</si>
  <si>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</si>
  <si>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</si>
  <si>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</si>
  <si>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</si>
  <si>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</si>
  <si>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</si>
  <si>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</si>
  <si>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</si>
  <si>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</si>
  <si>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</si>
  <si>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</si>
  <si>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</si>
  <si>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</si>
  <si>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</si>
  <si>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</si>
  <si>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</si>
  <si>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</si>
  <si>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</si>
  <si>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</si>
  <si>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</si>
  <si>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</si>
  <si>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</si>
  <si>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</si>
  <si>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</si>
  <si>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</si>
  <si>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</si>
  <si>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</si>
  <si>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</si>
  <si>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</si>
  <si>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</si>
  <si>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</si>
  <si>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</si>
  <si>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</si>
  <si>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</si>
  <si>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</si>
  <si>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</si>
  <si>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</si>
  <si>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</si>
  <si>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</si>
  <si>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</si>
  <si>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</si>
  <si>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</si>
  <si>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</si>
  <si>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</si>
  <si>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</si>
  <si>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</si>
  <si>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</si>
  <si>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</si>
  <si>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</si>
  <si>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</si>
  <si>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</si>
  <si>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</si>
  <si>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</si>
  <si>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</si>
  <si>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</si>
  <si>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</si>
  <si>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</si>
  <si>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</si>
  <si>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</si>
  <si>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</si>
  <si>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</si>
  <si>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</si>
  <si>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</si>
  <si>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</si>
  <si>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</si>
  <si>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</si>
  <si>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</si>
  <si>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</si>
  <si>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</si>
  <si>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</si>
  <si>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</si>
  <si>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</si>
  <si>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</si>
  <si>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</si>
  <si>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</si>
  <si>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</si>
  <si>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</si>
  <si>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</si>
  <si>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</si>
  <si>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</si>
  <si>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</si>
  <si>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</si>
  <si>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</si>
  <si>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</si>
  <si>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</si>
  <si>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</si>
  <si>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</si>
  <si>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</si>
  <si>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</si>
  <si>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</si>
  <si>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</si>
  <si>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</si>
  <si>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</si>
  <si>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</si>
  <si>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</si>
  <si>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</si>
  <si>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</si>
  <si>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</si>
  <si>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</si>
  <si>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</si>
  <si>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</si>
  <si>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</si>
  <si>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</si>
  <si>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</si>
  <si>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</si>
  <si>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</si>
  <si>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</si>
  <si>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</si>
  <si>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</si>
  <si>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</si>
  <si>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</si>
  <si>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</si>
  <si>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</si>
  <si>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очистка кровли от снега</t>
  </si>
  <si>
    <t>4 квартал</t>
  </si>
  <si>
    <t>смена трубопроводов из полиэтиленовых труб диам. 100мм</t>
  </si>
  <si>
    <t>2 квартал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</si>
  <si>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</si>
  <si>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</si>
  <si>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</si>
  <si>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</si>
  <si>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смена светильников со светодиодными лампами</t>
  </si>
  <si>
    <t>осмотр горячего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</si>
  <si>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</si>
  <si>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</si>
  <si>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</si>
  <si>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</si>
  <si>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</si>
  <si>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</si>
  <si>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</si>
  <si>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</si>
  <si>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мин</t>
  </si>
  <si>
    <t>каналов</t>
  </si>
  <si>
    <t>−</t>
  </si>
  <si>
    <t>смена ламп люминесцентных</t>
  </si>
  <si>
    <t>контроль исправности оборудования и ремонт силового предохранительного шкафа</t>
  </si>
  <si>
    <t>наличие и герметичность приборов отопления</t>
  </si>
  <si>
    <t>услуга</t>
  </si>
  <si>
    <t>установка решеток на приямки</t>
  </si>
  <si>
    <t>кг</t>
  </si>
  <si>
    <t>м</t>
  </si>
  <si>
    <t>благоустройство</t>
  </si>
  <si>
    <t>1 квартал</t>
  </si>
  <si>
    <t>установка насосов</t>
  </si>
  <si>
    <t>1 врезка</t>
  </si>
  <si>
    <t>ремонт/частичная замена поврежденных участков при помощи альпинистов</t>
  </si>
  <si>
    <t>очистка канализационной сети дворовой</t>
  </si>
  <si>
    <t>демонтаж грязевиков</t>
  </si>
  <si>
    <t>установка хомутов диаметром трубопроводов до 100мм</t>
  </si>
  <si>
    <t>регулировка дверного доводчика</t>
  </si>
  <si>
    <t>ремонт приемного клапана мусоропровода</t>
  </si>
  <si>
    <t>МОП</t>
  </si>
  <si>
    <t>смена вентилей и клапанов обратных муфтовых диам. до 20мм</t>
  </si>
  <si>
    <t>смена вентилей и клапанов обратных муфтовых диам. до 32мм</t>
  </si>
  <si>
    <t>усиление сварных швов наплавкой</t>
  </si>
  <si>
    <t>1м шва</t>
  </si>
  <si>
    <t>смена автоматов одно-,двух-,трехполюсных,установленных на конструкциях</t>
  </si>
  <si>
    <t>смена кабелей двух-четырехжильных</t>
  </si>
  <si>
    <t>ремонт штукатурки гладких фасадов по камню и бетону</t>
  </si>
  <si>
    <t>врезка в действующие сети трубопроводов отопления и водоснабжения диам. 20мм</t>
  </si>
  <si>
    <t>установка кранов шаровых на трубопроводах из стальных труб диам.65мм</t>
  </si>
  <si>
    <t>установка фланцевых соединений на стальных трубопроводах диам. 65мм</t>
  </si>
  <si>
    <t>соед.</t>
  </si>
  <si>
    <t>разборка трубопроводов из водогазопроводных труб диам.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</si>
  <si>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диам.25мм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</si>
  <si>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диам.32мм</t>
  </si>
  <si>
    <t>смена ламп накаливания</t>
  </si>
  <si>
    <t>демонтаж элеваторов</t>
  </si>
  <si>
    <t>установка грязевиков наружным диам. патрубков до 57мм после прочистки</t>
  </si>
  <si>
    <t>прочистка фильтров диам. 50мм</t>
  </si>
  <si>
    <t>водоотлив из подвала электрическими нососами</t>
  </si>
  <si>
    <t>водоотлив из подвала ведрами</t>
  </si>
  <si>
    <t xml:space="preserve"> смена кранов на шаровые краны диам.25,32мм</t>
  </si>
  <si>
    <t>ремонт межпанельных швов без вскрытия</t>
  </si>
  <si>
    <t>ремонт межпанельных швов со вскрытием и заменй утеплителя</t>
  </si>
  <si>
    <t>ремонт мягкого покрытия кровли в 1 слой</t>
  </si>
  <si>
    <t>осмотр холодного водоснабжения</t>
  </si>
  <si>
    <t>периодическая проверка дымовых каналов</t>
  </si>
  <si>
    <t>ремонт и окраска дверей (восстановление фурнитуры и остекления) проушины</t>
  </si>
  <si>
    <t>выполнение работ по ремонту и восстановлению водосточных труб</t>
  </si>
  <si>
    <t>ремонт групповых щитков на лестничной клетке без ремонта автоматов</t>
  </si>
  <si>
    <t>установка сантехнических люков</t>
  </si>
  <si>
    <t xml:space="preserve">восстановление и окраска элементов крылец;замена плиток </t>
  </si>
  <si>
    <t>ремонт и восстановление уплотнения стыков прокладками ПРП в 1 ряд насухо</t>
  </si>
  <si>
    <t>4 квартад</t>
  </si>
  <si>
    <t>прочистка вентканалов</t>
  </si>
  <si>
    <t xml:space="preserve"> смена кранов на шаровые краны диам.15,20мм</t>
  </si>
  <si>
    <t>разборка трубопроводов из чугунных канализационных труб диам.100мм</t>
  </si>
  <si>
    <t>прокладка трубопроводов канализации из ПВХ труб высокой плотности диам. 110мм</t>
  </si>
  <si>
    <t>валка з-х деревьев, распиловка, погрузка и вывоз порубочных остатков контейнером</t>
  </si>
  <si>
    <t>чистка кровли от снега</t>
  </si>
  <si>
    <t>Всего:</t>
  </si>
  <si>
    <t xml:space="preserve">
Отчет о выполнении работ по текущему ремонту общего имущества 
в многоквартирном доме по адресу: г.Щёлково, ул.Шмидта, дом 20  на 2023 г.
</t>
  </si>
  <si>
    <t>механизированная уборка снега на придомовой территории(JSB )</t>
  </si>
  <si>
    <t>механизированная уборка снега на придомовой территории( МТЗ )</t>
  </si>
  <si>
    <t>смена сгонов у трубопроводов диам.до 20мм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</si>
  <si>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диам.20мм</t>
  </si>
  <si>
    <t>прокладка внутренних трубопроводов водоснабжения и отопления из полипропиленовых труб:диам. 20мм</t>
  </si>
  <si>
    <t>вывоз мусора контейнером с утилизацией 5м3(3т)</t>
  </si>
  <si>
    <t>установка элеваторов после прочистки</t>
  </si>
  <si>
    <t>справка о техническом состоянии здания</t>
  </si>
  <si>
    <t>з квартал</t>
  </si>
  <si>
    <t>прокладка внутренних трубопроводов водоснабжения и отопления из полипропиленовых труб:диам. 25мм</t>
  </si>
  <si>
    <t>окраска масляными составами ранее окрашенных больших металлических поверхностей(кроме крыш) за один раз</t>
  </si>
  <si>
    <t>замена гибкой подводки кв 38</t>
  </si>
  <si>
    <t>Текущий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</si>
</sst>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2" fontId="8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wrapText="1"/>
    </xf>
    <xf numFmtId="2" fontId="1" fillId="0" borderId="4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7" fontId="1" fillId="0" borderId="3" xfId="0" applyNumberFormat="1" applyFont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/>
    <xf numFmtId="2" fontId="9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1"/>
  <sheetViews>
    <sheetView tabSelected="1" topLeftCell="A142" zoomScale="91" zoomScaleNormal="91" workbookViewId="0">
      <selection activeCell="I146" sqref="I146:I149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66" t="s">
        <v>96</v>
      </c>
      <c r="J1" s="66"/>
    </row>
    <row r="2" spans="1:12" ht="70.5" customHeight="1" x14ac:dyDescent="0.25">
      <c r="A2" s="61" t="s">
        <v>198</v>
      </c>
      <c r="B2" s="62"/>
      <c r="C2" s="62"/>
      <c r="D2" s="62"/>
      <c r="E2" s="62"/>
      <c r="F2" s="62"/>
      <c r="G2" s="62"/>
      <c r="H2" s="62"/>
      <c r="I2" s="62"/>
      <c r="J2" s="62"/>
      <c r="K2" s="2"/>
      <c r="L2" s="2"/>
    </row>
    <row r="3" spans="1:12" ht="75" x14ac:dyDescent="0.25">
      <c r="A3" s="20" t="s">
        <v>82</v>
      </c>
      <c r="B3" s="3"/>
      <c r="C3" s="3"/>
      <c r="D3" s="20" t="s">
        <v>100</v>
      </c>
      <c r="E3" s="20" t="s">
        <v>104</v>
      </c>
      <c r="F3" s="21" t="s">
        <v>102</v>
      </c>
      <c r="G3" s="21" t="s">
        <v>81</v>
      </c>
      <c r="H3" s="21" t="s">
        <v>80</v>
      </c>
      <c r="I3" s="21" t="s">
        <v>101</v>
      </c>
      <c r="J3" s="21" t="s">
        <v>103</v>
      </c>
      <c r="K3" s="2"/>
      <c r="L3" s="2"/>
    </row>
    <row r="4" spans="1:12" ht="18.75" x14ac:dyDescent="0.3">
      <c r="A4" s="67" t="s">
        <v>87</v>
      </c>
      <c r="B4" s="68"/>
      <c r="C4" s="68"/>
      <c r="D4" s="68"/>
      <c r="E4" s="68"/>
      <c r="F4" s="68"/>
      <c r="G4" s="69"/>
      <c r="H4" s="10"/>
      <c r="I4" s="10"/>
      <c r="J4" s="11"/>
      <c r="K4" s="2"/>
      <c r="L4" s="2"/>
    </row>
    <row r="5" spans="1:12" ht="18.75" x14ac:dyDescent="0.3">
      <c r="A5" s="6" t="s">
        <v>0</v>
      </c>
      <c r="B5" s="5"/>
      <c r="C5" s="4"/>
      <c r="D5" s="15" t="s">
        <v>181</v>
      </c>
      <c r="E5" s="41" t="s">
        <v>139</v>
      </c>
      <c r="F5" s="41" t="s">
        <v>139</v>
      </c>
      <c r="G5" s="13" t="s">
        <v>112</v>
      </c>
      <c r="H5" s="41" t="s">
        <v>139</v>
      </c>
      <c r="I5" s="41" t="s">
        <v>139</v>
      </c>
      <c r="J5" s="13"/>
      <c r="K5" s="2"/>
      <c r="L5" s="2"/>
    </row>
    <row r="6" spans="1:12" ht="18.75" x14ac:dyDescent="0.3">
      <c r="A6" s="6"/>
      <c r="B6" s="5"/>
      <c r="C6" s="4"/>
      <c r="D6" s="15" t="s">
        <v>119</v>
      </c>
      <c r="E6" s="41"/>
      <c r="F6" s="41">
        <f>53.4+75.4</f>
        <v>128.80000000000001</v>
      </c>
      <c r="G6" s="13" t="s">
        <v>112</v>
      </c>
      <c r="H6" s="41">
        <v>40</v>
      </c>
      <c r="I6" s="73">
        <f>F6*H6</f>
        <v>5152</v>
      </c>
      <c r="J6" s="13" t="s">
        <v>123</v>
      </c>
      <c r="K6" s="2"/>
      <c r="L6" s="2"/>
    </row>
    <row r="7" spans="1:12" ht="18.75" x14ac:dyDescent="0.3">
      <c r="A7" s="6"/>
      <c r="B7" s="5"/>
      <c r="C7" s="4"/>
      <c r="D7" s="15" t="s">
        <v>196</v>
      </c>
      <c r="E7" s="41"/>
      <c r="F7" s="41"/>
      <c r="G7" s="13" t="s">
        <v>143</v>
      </c>
      <c r="H7" s="41"/>
      <c r="I7" s="41"/>
      <c r="J7" s="13"/>
      <c r="K7" s="2"/>
      <c r="L7" s="2"/>
    </row>
    <row r="8" spans="1:12" ht="35.25" customHeight="1" x14ac:dyDescent="0.3">
      <c r="A8" s="6" t="s">
        <v>1</v>
      </c>
      <c r="B8" s="5"/>
      <c r="C8" s="4"/>
      <c r="D8" s="15" t="s">
        <v>151</v>
      </c>
      <c r="E8" s="41" t="s">
        <v>139</v>
      </c>
      <c r="F8" s="41" t="s">
        <v>139</v>
      </c>
      <c r="G8" s="13" t="s">
        <v>30</v>
      </c>
      <c r="H8" s="41" t="s">
        <v>139</v>
      </c>
      <c r="I8" s="41" t="s">
        <v>139</v>
      </c>
      <c r="J8" s="13"/>
      <c r="K8" s="2"/>
      <c r="L8" s="2"/>
    </row>
    <row r="9" spans="1:12" ht="28.5" customHeight="1" x14ac:dyDescent="0.3">
      <c r="A9" s="6" t="s">
        <v>2</v>
      </c>
      <c r="B9" s="5"/>
      <c r="C9" s="4"/>
      <c r="D9" s="15" t="s">
        <v>39</v>
      </c>
      <c r="E9" s="41" t="s">
        <v>139</v>
      </c>
      <c r="F9" s="41" t="s">
        <v>139</v>
      </c>
      <c r="G9" s="13" t="s">
        <v>30</v>
      </c>
      <c r="H9" s="41" t="s">
        <v>139</v>
      </c>
      <c r="I9" s="41" t="s">
        <v>139</v>
      </c>
      <c r="J9" s="13"/>
      <c r="K9" s="2"/>
      <c r="L9" s="2"/>
    </row>
    <row r="10" spans="1:12" ht="18.75" x14ac:dyDescent="0.3">
      <c r="A10" s="7" t="s">
        <v>3</v>
      </c>
      <c r="B10" s="5"/>
      <c r="C10" s="4"/>
      <c r="D10" s="15" t="s">
        <v>38</v>
      </c>
      <c r="E10" s="41" t="s">
        <v>139</v>
      </c>
      <c r="F10" s="41" t="s">
        <v>139</v>
      </c>
      <c r="G10" s="13" t="s">
        <v>30</v>
      </c>
      <c r="H10" s="41" t="s">
        <v>139</v>
      </c>
      <c r="I10" s="41" t="s">
        <v>139</v>
      </c>
      <c r="J10" s="13"/>
      <c r="K10" s="2"/>
      <c r="L10" s="2"/>
    </row>
    <row r="11" spans="1:12" ht="32.25" x14ac:dyDescent="0.3">
      <c r="A11" s="6" t="s">
        <v>4</v>
      </c>
      <c r="B11" s="5"/>
      <c r="C11" s="4"/>
      <c r="D11" s="15" t="s">
        <v>37</v>
      </c>
      <c r="E11" s="41" t="s">
        <v>139</v>
      </c>
      <c r="F11" s="41" t="s">
        <v>139</v>
      </c>
      <c r="G11" s="13" t="s">
        <v>30</v>
      </c>
      <c r="H11" s="41" t="s">
        <v>139</v>
      </c>
      <c r="I11" s="41" t="s">
        <v>139</v>
      </c>
      <c r="J11" s="13"/>
      <c r="K11" s="2"/>
      <c r="L11" s="2"/>
    </row>
    <row r="12" spans="1:12" ht="18.75" x14ac:dyDescent="0.3">
      <c r="A12" s="6" t="s">
        <v>5</v>
      </c>
      <c r="B12" s="5"/>
      <c r="C12" s="4"/>
      <c r="D12" s="4" t="s">
        <v>86</v>
      </c>
      <c r="E12" s="41" t="s">
        <v>139</v>
      </c>
      <c r="F12" s="41" t="s">
        <v>139</v>
      </c>
      <c r="G12" s="13" t="s">
        <v>31</v>
      </c>
      <c r="H12" s="41" t="s">
        <v>139</v>
      </c>
      <c r="I12" s="41" t="s">
        <v>139</v>
      </c>
      <c r="J12" s="13"/>
      <c r="K12" s="2"/>
      <c r="L12" s="2"/>
    </row>
    <row r="13" spans="1:12" ht="37.5" x14ac:dyDescent="0.3">
      <c r="A13" s="6" t="s">
        <v>6</v>
      </c>
      <c r="B13" s="5"/>
      <c r="C13" s="4"/>
      <c r="D13" s="4" t="s">
        <v>36</v>
      </c>
      <c r="E13" s="41" t="s">
        <v>139</v>
      </c>
      <c r="F13" s="41" t="s">
        <v>139</v>
      </c>
      <c r="G13" s="14" t="s">
        <v>31</v>
      </c>
      <c r="H13" s="41" t="s">
        <v>139</v>
      </c>
      <c r="I13" s="41" t="s">
        <v>139</v>
      </c>
      <c r="J13" s="13"/>
      <c r="K13" s="2"/>
      <c r="L13" s="2"/>
    </row>
    <row r="14" spans="1:12" ht="32.25" x14ac:dyDescent="0.3">
      <c r="A14" s="6" t="s">
        <v>63</v>
      </c>
      <c r="B14" s="5"/>
      <c r="C14" s="4"/>
      <c r="D14" s="15" t="s">
        <v>52</v>
      </c>
      <c r="E14" s="41" t="s">
        <v>139</v>
      </c>
      <c r="F14" s="41" t="s">
        <v>139</v>
      </c>
      <c r="G14" s="13" t="s">
        <v>30</v>
      </c>
      <c r="H14" s="41" t="s">
        <v>139</v>
      </c>
      <c r="I14" s="41" t="s">
        <v>139</v>
      </c>
      <c r="J14" s="13"/>
      <c r="L14" s="2"/>
    </row>
    <row r="15" spans="1:12" ht="32.25" x14ac:dyDescent="0.3">
      <c r="A15" s="6" t="s">
        <v>7</v>
      </c>
      <c r="B15" s="5"/>
      <c r="C15" s="4"/>
      <c r="D15" s="15" t="s">
        <v>34</v>
      </c>
      <c r="E15" s="41" t="s">
        <v>139</v>
      </c>
      <c r="F15" s="41" t="s">
        <v>139</v>
      </c>
      <c r="G15" s="13" t="s">
        <v>30</v>
      </c>
      <c r="H15" s="41"/>
      <c r="I15" s="41"/>
      <c r="J15" s="13"/>
      <c r="L15" s="2"/>
    </row>
    <row r="16" spans="1:12" ht="27" customHeight="1" x14ac:dyDescent="0.3">
      <c r="A16" s="6"/>
      <c r="B16" s="5"/>
      <c r="C16" s="4"/>
      <c r="D16" s="15" t="s">
        <v>185</v>
      </c>
      <c r="E16" s="41" t="s">
        <v>139</v>
      </c>
      <c r="F16" s="41" t="s">
        <v>139</v>
      </c>
      <c r="G16" s="13" t="s">
        <v>30</v>
      </c>
      <c r="H16" s="41" t="s">
        <v>139</v>
      </c>
      <c r="I16" s="41" t="s">
        <v>139</v>
      </c>
      <c r="J16" s="13"/>
      <c r="K16" s="2"/>
      <c r="L16" s="2"/>
    </row>
    <row r="17" spans="1:12" ht="27" customHeight="1" x14ac:dyDescent="0.3">
      <c r="A17" s="28"/>
      <c r="B17" s="22"/>
      <c r="C17" s="22"/>
      <c r="D17" s="30"/>
      <c r="E17" s="49"/>
      <c r="F17" s="49"/>
      <c r="G17" s="31"/>
      <c r="H17" s="41"/>
      <c r="I17" s="41">
        <f>SUM(I6:I16)</f>
        <v>5152</v>
      </c>
      <c r="J17" s="13"/>
      <c r="K17" s="2"/>
      <c r="L17" s="2"/>
    </row>
    <row r="18" spans="1:12" ht="18.75" x14ac:dyDescent="0.3">
      <c r="A18" s="67" t="s">
        <v>56</v>
      </c>
      <c r="B18" s="68"/>
      <c r="C18" s="68"/>
      <c r="D18" s="68"/>
      <c r="E18" s="68"/>
      <c r="F18" s="68"/>
      <c r="G18" s="69"/>
      <c r="H18" s="14"/>
      <c r="I18" s="5"/>
      <c r="J18" s="13"/>
      <c r="L18" s="2"/>
    </row>
    <row r="19" spans="1:12" ht="18.75" x14ac:dyDescent="0.3">
      <c r="A19" s="6" t="s">
        <v>19</v>
      </c>
      <c r="B19" s="5"/>
      <c r="C19" s="4"/>
      <c r="D19" s="4" t="s">
        <v>95</v>
      </c>
      <c r="E19" s="41" t="s">
        <v>139</v>
      </c>
      <c r="F19" s="41" t="s">
        <v>139</v>
      </c>
      <c r="G19" s="14" t="s">
        <v>54</v>
      </c>
      <c r="H19" s="41" t="s">
        <v>139</v>
      </c>
      <c r="I19" s="41" t="s">
        <v>139</v>
      </c>
      <c r="J19" s="13"/>
      <c r="L19" s="2"/>
    </row>
    <row r="20" spans="1:12" ht="18.75" x14ac:dyDescent="0.3">
      <c r="A20" s="6" t="s">
        <v>13</v>
      </c>
      <c r="B20" s="5"/>
      <c r="C20" s="4"/>
      <c r="D20" s="4" t="s">
        <v>41</v>
      </c>
      <c r="E20" s="41" t="s">
        <v>139</v>
      </c>
      <c r="F20" s="41" t="s">
        <v>139</v>
      </c>
      <c r="G20" s="14" t="s">
        <v>53</v>
      </c>
      <c r="H20" s="41" t="s">
        <v>139</v>
      </c>
      <c r="I20" s="41" t="s">
        <v>139</v>
      </c>
      <c r="J20" s="13"/>
      <c r="L20" s="2"/>
    </row>
    <row r="21" spans="1:12" ht="18.75" x14ac:dyDescent="0.3">
      <c r="A21" s="6" t="s">
        <v>9</v>
      </c>
      <c r="B21" s="5"/>
      <c r="C21" s="4"/>
      <c r="D21" s="4" t="s">
        <v>35</v>
      </c>
      <c r="E21" s="41"/>
      <c r="F21" s="41">
        <f>18</f>
        <v>18</v>
      </c>
      <c r="G21" s="14" t="s">
        <v>53</v>
      </c>
      <c r="H21" s="46">
        <f>2737.4/F21</f>
        <v>152.07777777777778</v>
      </c>
      <c r="I21" s="73">
        <f>F21*H21</f>
        <v>2737.4</v>
      </c>
      <c r="J21" s="13" t="s">
        <v>117</v>
      </c>
      <c r="K21" s="2"/>
      <c r="L21" s="2"/>
    </row>
    <row r="22" spans="1:12" ht="32.25" x14ac:dyDescent="0.3">
      <c r="A22" s="6"/>
      <c r="B22" s="5"/>
      <c r="C22" s="4"/>
      <c r="D22" s="15" t="s">
        <v>164</v>
      </c>
      <c r="E22" s="41" t="s">
        <v>139</v>
      </c>
      <c r="F22" s="41" t="s">
        <v>139</v>
      </c>
      <c r="G22" s="14" t="s">
        <v>89</v>
      </c>
      <c r="H22" s="41" t="s">
        <v>139</v>
      </c>
      <c r="I22" s="41" t="s">
        <v>139</v>
      </c>
      <c r="J22" s="13"/>
      <c r="K22" s="2"/>
      <c r="L22" s="2"/>
    </row>
    <row r="23" spans="1:12" ht="18.75" x14ac:dyDescent="0.3">
      <c r="A23" s="6" t="s">
        <v>10</v>
      </c>
      <c r="B23" s="5"/>
      <c r="C23" s="4"/>
      <c r="D23" s="4" t="s">
        <v>33</v>
      </c>
      <c r="E23" s="41" t="s">
        <v>139</v>
      </c>
      <c r="F23" s="41" t="s">
        <v>139</v>
      </c>
      <c r="G23" s="14" t="s">
        <v>53</v>
      </c>
      <c r="H23" s="41" t="s">
        <v>139</v>
      </c>
      <c r="I23" s="41" t="s">
        <v>139</v>
      </c>
      <c r="J23" s="13"/>
      <c r="K23" s="2"/>
      <c r="L23" s="2"/>
    </row>
    <row r="24" spans="1:12" ht="18.75" x14ac:dyDescent="0.3">
      <c r="A24" s="6" t="s">
        <v>11</v>
      </c>
      <c r="B24" s="5"/>
      <c r="C24" s="4"/>
      <c r="D24" s="4" t="s">
        <v>40</v>
      </c>
      <c r="E24" s="41" t="s">
        <v>139</v>
      </c>
      <c r="F24" s="41" t="s">
        <v>139</v>
      </c>
      <c r="G24" s="14" t="s">
        <v>53</v>
      </c>
      <c r="H24" s="41" t="s">
        <v>139</v>
      </c>
      <c r="I24" s="41" t="s">
        <v>139</v>
      </c>
      <c r="J24" s="13"/>
      <c r="K24" s="2"/>
      <c r="L24" s="2"/>
    </row>
    <row r="25" spans="1:12" ht="18.75" x14ac:dyDescent="0.3">
      <c r="A25" s="6"/>
      <c r="B25" s="5"/>
      <c r="C25" s="4"/>
      <c r="D25" s="4" t="s">
        <v>144</v>
      </c>
      <c r="E25" s="41" t="s">
        <v>139</v>
      </c>
      <c r="F25" s="41" t="s">
        <v>139</v>
      </c>
      <c r="G25" s="14" t="s">
        <v>145</v>
      </c>
      <c r="H25" s="41" t="s">
        <v>139</v>
      </c>
      <c r="I25" s="41" t="s">
        <v>139</v>
      </c>
      <c r="J25" s="13"/>
      <c r="K25" s="2"/>
      <c r="L25" s="2"/>
    </row>
    <row r="26" spans="1:12" ht="18.75" x14ac:dyDescent="0.3">
      <c r="A26" s="6" t="s">
        <v>8</v>
      </c>
      <c r="B26" s="5"/>
      <c r="C26" s="4"/>
      <c r="D26" s="4" t="s">
        <v>32</v>
      </c>
      <c r="E26" s="41" t="s">
        <v>139</v>
      </c>
      <c r="F26" s="41" t="s">
        <v>139</v>
      </c>
      <c r="G26" s="13" t="s">
        <v>30</v>
      </c>
      <c r="H26" s="41" t="s">
        <v>139</v>
      </c>
      <c r="I26" s="41" t="s">
        <v>139</v>
      </c>
      <c r="J26" s="13"/>
      <c r="K26" s="2"/>
      <c r="L26" s="2"/>
    </row>
    <row r="27" spans="1:12" ht="39" customHeight="1" x14ac:dyDescent="0.3">
      <c r="A27" s="6" t="s">
        <v>12</v>
      </c>
      <c r="B27" s="5"/>
      <c r="C27" s="4"/>
      <c r="D27" s="15" t="s">
        <v>188</v>
      </c>
      <c r="E27" s="41" t="s">
        <v>139</v>
      </c>
      <c r="F27" s="41" t="s">
        <v>139</v>
      </c>
      <c r="G27" s="14" t="s">
        <v>53</v>
      </c>
      <c r="H27" s="41" t="s">
        <v>139</v>
      </c>
      <c r="I27" s="41" t="s">
        <v>139</v>
      </c>
      <c r="J27" s="13"/>
      <c r="K27" s="2"/>
      <c r="L27" s="2"/>
    </row>
    <row r="28" spans="1:12" ht="18.75" x14ac:dyDescent="0.3">
      <c r="A28" s="6" t="s">
        <v>55</v>
      </c>
      <c r="B28" s="5"/>
      <c r="C28" s="4"/>
      <c r="D28" s="15" t="s">
        <v>179</v>
      </c>
      <c r="E28" s="41" t="s">
        <v>139</v>
      </c>
      <c r="F28" s="41" t="s">
        <v>139</v>
      </c>
      <c r="G28" s="14" t="s">
        <v>30</v>
      </c>
      <c r="H28" s="41" t="s">
        <v>139</v>
      </c>
      <c r="I28" s="41" t="s">
        <v>139</v>
      </c>
      <c r="J28" s="13"/>
      <c r="L28" s="2"/>
    </row>
    <row r="29" spans="1:12" ht="32.25" x14ac:dyDescent="0.3">
      <c r="A29" s="6"/>
      <c r="B29" s="5"/>
      <c r="C29" s="4"/>
      <c r="D29" s="15" t="s">
        <v>180</v>
      </c>
      <c r="E29" s="41" t="s">
        <v>139</v>
      </c>
      <c r="F29" s="41" t="s">
        <v>139</v>
      </c>
      <c r="G29" s="14" t="s">
        <v>143</v>
      </c>
      <c r="H29" s="41" t="s">
        <v>139</v>
      </c>
      <c r="I29" s="41" t="s">
        <v>139</v>
      </c>
      <c r="J29" s="13"/>
      <c r="L29" s="2"/>
    </row>
    <row r="30" spans="1:12" ht="32.25" x14ac:dyDescent="0.3">
      <c r="A30" s="6" t="s">
        <v>57</v>
      </c>
      <c r="B30" s="5"/>
      <c r="C30" s="4"/>
      <c r="D30" s="15" t="s">
        <v>94</v>
      </c>
      <c r="E30" s="41" t="s">
        <v>139</v>
      </c>
      <c r="F30" s="41" t="s">
        <v>139</v>
      </c>
      <c r="G30" s="14" t="s">
        <v>53</v>
      </c>
      <c r="H30" s="41" t="s">
        <v>139</v>
      </c>
      <c r="I30" s="41" t="s">
        <v>139</v>
      </c>
      <c r="J30" s="13"/>
      <c r="L30" s="2"/>
    </row>
    <row r="31" spans="1:12" ht="32.25" x14ac:dyDescent="0.3">
      <c r="A31" s="6" t="s">
        <v>14</v>
      </c>
      <c r="B31" s="5"/>
      <c r="C31" s="4"/>
      <c r="D31" s="15" t="s">
        <v>93</v>
      </c>
      <c r="E31" s="41" t="s">
        <v>139</v>
      </c>
      <c r="F31" s="41" t="s">
        <v>139</v>
      </c>
      <c r="G31" s="14" t="s">
        <v>54</v>
      </c>
      <c r="H31" s="41" t="s">
        <v>139</v>
      </c>
      <c r="I31" s="41" t="s">
        <v>139</v>
      </c>
      <c r="J31" s="13"/>
      <c r="L31" s="2"/>
    </row>
    <row r="32" spans="1:12" ht="18.75" x14ac:dyDescent="0.3">
      <c r="A32" s="6" t="s">
        <v>15</v>
      </c>
      <c r="B32" s="5"/>
      <c r="C32" s="4"/>
      <c r="D32" s="4" t="s">
        <v>42</v>
      </c>
      <c r="E32" s="41" t="s">
        <v>139</v>
      </c>
      <c r="F32" s="41" t="s">
        <v>139</v>
      </c>
      <c r="G32" s="14" t="s">
        <v>54</v>
      </c>
      <c r="H32" s="41" t="s">
        <v>139</v>
      </c>
      <c r="I32" s="41" t="s">
        <v>139</v>
      </c>
      <c r="J32" s="13"/>
      <c r="L32" s="2"/>
    </row>
    <row r="33" spans="1:12" ht="18.75" x14ac:dyDescent="0.3">
      <c r="A33" s="6" t="s">
        <v>16</v>
      </c>
      <c r="B33" s="5"/>
      <c r="C33" s="4"/>
      <c r="D33" s="4" t="s">
        <v>43</v>
      </c>
      <c r="E33" s="41" t="s">
        <v>139</v>
      </c>
      <c r="F33" s="41" t="s">
        <v>139</v>
      </c>
      <c r="G33" s="14" t="s">
        <v>53</v>
      </c>
      <c r="H33" s="41" t="s">
        <v>139</v>
      </c>
      <c r="I33" s="41" t="s">
        <v>139</v>
      </c>
      <c r="J33" s="13"/>
      <c r="L33" s="2"/>
    </row>
    <row r="34" spans="1:12" ht="18.75" x14ac:dyDescent="0.3">
      <c r="A34" s="6" t="s">
        <v>17</v>
      </c>
      <c r="B34" s="5"/>
      <c r="C34" s="4"/>
      <c r="D34" s="4" t="s">
        <v>44</v>
      </c>
      <c r="E34" s="41" t="s">
        <v>139</v>
      </c>
      <c r="F34" s="41" t="s">
        <v>139</v>
      </c>
      <c r="G34" s="13" t="s">
        <v>30</v>
      </c>
      <c r="H34" s="41" t="s">
        <v>139</v>
      </c>
      <c r="I34" s="41" t="s">
        <v>139</v>
      </c>
      <c r="J34" s="13"/>
      <c r="L34" s="2"/>
    </row>
    <row r="35" spans="1:12" ht="18.75" x14ac:dyDescent="0.3">
      <c r="A35" s="6" t="s">
        <v>18</v>
      </c>
      <c r="B35" s="5"/>
      <c r="C35" s="4"/>
      <c r="D35" s="4" t="s">
        <v>45</v>
      </c>
      <c r="E35" s="41" t="s">
        <v>139</v>
      </c>
      <c r="F35" s="41" t="s">
        <v>139</v>
      </c>
      <c r="G35" s="14" t="s">
        <v>54</v>
      </c>
      <c r="H35" s="41" t="s">
        <v>139</v>
      </c>
      <c r="I35" s="41" t="s">
        <v>139</v>
      </c>
      <c r="J35" s="13"/>
      <c r="L35" s="2"/>
    </row>
    <row r="36" spans="1:12" ht="18.75" x14ac:dyDescent="0.3">
      <c r="A36" s="28"/>
      <c r="B36" s="22"/>
      <c r="C36" s="22"/>
      <c r="D36" s="22"/>
      <c r="E36" s="49"/>
      <c r="F36" s="49"/>
      <c r="G36" s="12"/>
      <c r="H36" s="41"/>
      <c r="I36" s="41">
        <f>SUM(I21:I35)</f>
        <v>2737.4</v>
      </c>
      <c r="J36" s="13"/>
      <c r="L36" s="2"/>
    </row>
    <row r="37" spans="1:12" ht="24" customHeight="1" x14ac:dyDescent="0.3">
      <c r="A37" s="67" t="s">
        <v>85</v>
      </c>
      <c r="B37" s="68"/>
      <c r="C37" s="68"/>
      <c r="D37" s="68"/>
      <c r="E37" s="68"/>
      <c r="F37" s="68"/>
      <c r="G37" s="69"/>
      <c r="H37" s="14"/>
      <c r="I37" s="5"/>
      <c r="J37" s="13"/>
      <c r="L37" s="2"/>
    </row>
    <row r="38" spans="1:12" ht="32.25" customHeight="1" x14ac:dyDescent="0.3">
      <c r="A38" s="6" t="s">
        <v>49</v>
      </c>
      <c r="B38" s="5"/>
      <c r="C38" s="4"/>
      <c r="D38" s="15" t="s">
        <v>184</v>
      </c>
      <c r="E38" s="32"/>
      <c r="F38" s="13"/>
      <c r="G38" s="38" t="s">
        <v>145</v>
      </c>
      <c r="H38" s="13"/>
      <c r="I38" s="13"/>
      <c r="J38" s="13"/>
      <c r="L38" s="2"/>
    </row>
    <row r="39" spans="1:12" ht="32.25" customHeight="1" x14ac:dyDescent="0.3">
      <c r="A39" s="6"/>
      <c r="B39" s="5"/>
      <c r="C39" s="4"/>
      <c r="D39" s="15" t="s">
        <v>155</v>
      </c>
      <c r="E39" s="41" t="s">
        <v>139</v>
      </c>
      <c r="F39" s="41" t="s">
        <v>139</v>
      </c>
      <c r="G39" s="13" t="s">
        <v>31</v>
      </c>
      <c r="H39" s="41" t="s">
        <v>139</v>
      </c>
      <c r="I39" s="41" t="s">
        <v>139</v>
      </c>
      <c r="J39" s="13"/>
      <c r="L39" s="2"/>
    </row>
    <row r="40" spans="1:12" ht="32.25" customHeight="1" x14ac:dyDescent="0.3">
      <c r="A40" s="6"/>
      <c r="B40" s="5"/>
      <c r="C40" s="4"/>
      <c r="D40" s="15" t="s">
        <v>189</v>
      </c>
      <c r="E40" s="41"/>
      <c r="F40" s="41">
        <v>3.6</v>
      </c>
      <c r="G40" s="13" t="s">
        <v>30</v>
      </c>
      <c r="H40" s="46">
        <f>941.2/F40</f>
        <v>261.44444444444446</v>
      </c>
      <c r="I40" s="73">
        <f t="shared" ref="I40" si="0">F40*H40</f>
        <v>941.2</v>
      </c>
      <c r="J40" s="13" t="s">
        <v>190</v>
      </c>
      <c r="L40" s="2"/>
    </row>
    <row r="41" spans="1:12" ht="32.25" customHeight="1" x14ac:dyDescent="0.3">
      <c r="A41" s="6"/>
      <c r="B41" s="5"/>
      <c r="C41" s="4"/>
      <c r="D41" s="15" t="s">
        <v>209</v>
      </c>
      <c r="E41" s="41"/>
      <c r="F41" s="41">
        <f>15.1</f>
        <v>15.1</v>
      </c>
      <c r="G41" s="13" t="s">
        <v>112</v>
      </c>
      <c r="H41" s="46">
        <f>2203.6/F41</f>
        <v>145.93377483443709</v>
      </c>
      <c r="I41" s="73">
        <f>F41*H41</f>
        <v>2203.6</v>
      </c>
      <c r="J41" s="13" t="s">
        <v>120</v>
      </c>
      <c r="L41" s="2"/>
    </row>
    <row r="42" spans="1:12" ht="32.25" x14ac:dyDescent="0.3">
      <c r="A42" s="6" t="s">
        <v>50</v>
      </c>
      <c r="B42" s="5"/>
      <c r="C42" s="4"/>
      <c r="D42" s="15" t="s">
        <v>99</v>
      </c>
      <c r="E42" s="41" t="s">
        <v>139</v>
      </c>
      <c r="F42" s="41" t="s">
        <v>139</v>
      </c>
      <c r="G42" s="13" t="s">
        <v>54</v>
      </c>
      <c r="H42" s="41" t="s">
        <v>139</v>
      </c>
      <c r="I42" s="41" t="s">
        <v>139</v>
      </c>
      <c r="J42" s="13"/>
      <c r="L42" s="2"/>
    </row>
    <row r="43" spans="1:12" ht="32.25" x14ac:dyDescent="0.3">
      <c r="A43" s="6" t="s">
        <v>59</v>
      </c>
      <c r="B43" s="8"/>
      <c r="C43" s="4"/>
      <c r="D43" s="15" t="s">
        <v>46</v>
      </c>
      <c r="E43" s="41" t="s">
        <v>139</v>
      </c>
      <c r="F43" s="41" t="s">
        <v>139</v>
      </c>
      <c r="G43" s="14" t="s">
        <v>53</v>
      </c>
      <c r="H43" s="41" t="s">
        <v>139</v>
      </c>
      <c r="I43" s="41" t="s">
        <v>139</v>
      </c>
      <c r="J43" s="13"/>
      <c r="L43" s="2"/>
    </row>
    <row r="44" spans="1:12" ht="18.75" x14ac:dyDescent="0.3">
      <c r="A44" s="6"/>
      <c r="B44" s="8"/>
      <c r="C44" s="4"/>
      <c r="D44" s="15" t="s">
        <v>187</v>
      </c>
      <c r="E44" s="41" t="s">
        <v>139</v>
      </c>
      <c r="F44" s="41" t="s">
        <v>139</v>
      </c>
      <c r="G44" s="14" t="s">
        <v>31</v>
      </c>
      <c r="H44" s="41" t="s">
        <v>139</v>
      </c>
      <c r="I44" s="41" t="s">
        <v>139</v>
      </c>
      <c r="J44" s="13"/>
      <c r="L44" s="2"/>
    </row>
    <row r="45" spans="1:12" ht="18.75" x14ac:dyDescent="0.3">
      <c r="A45" s="6" t="s">
        <v>61</v>
      </c>
      <c r="B45" s="5"/>
      <c r="C45" s="4"/>
      <c r="D45" s="15" t="s">
        <v>51</v>
      </c>
      <c r="E45" s="41" t="s">
        <v>139</v>
      </c>
      <c r="F45" s="41" t="s">
        <v>139</v>
      </c>
      <c r="G45" s="14" t="s">
        <v>53</v>
      </c>
      <c r="H45" s="41" t="s">
        <v>139</v>
      </c>
      <c r="I45" s="41" t="s">
        <v>139</v>
      </c>
      <c r="J45" s="13"/>
      <c r="L45" s="2"/>
    </row>
    <row r="46" spans="1:12" ht="32.25" x14ac:dyDescent="0.3">
      <c r="A46" s="6" t="s">
        <v>62</v>
      </c>
      <c r="B46" s="5"/>
      <c r="C46" s="4"/>
      <c r="D46" s="15" t="s">
        <v>64</v>
      </c>
      <c r="E46" s="41" t="s">
        <v>139</v>
      </c>
      <c r="F46" s="41" t="s">
        <v>139</v>
      </c>
      <c r="G46" s="13" t="s">
        <v>30</v>
      </c>
      <c r="H46" s="41" t="s">
        <v>139</v>
      </c>
      <c r="I46" s="41" t="s">
        <v>139</v>
      </c>
      <c r="J46" s="13"/>
      <c r="L46" s="2"/>
    </row>
    <row r="47" spans="1:12" ht="18.75" x14ac:dyDescent="0.3">
      <c r="A47" s="6"/>
      <c r="B47" s="5"/>
      <c r="C47" s="4"/>
      <c r="D47" s="15" t="s">
        <v>156</v>
      </c>
      <c r="E47" s="41" t="s">
        <v>139</v>
      </c>
      <c r="F47" s="41" t="s">
        <v>139</v>
      </c>
      <c r="G47" s="13" t="s">
        <v>31</v>
      </c>
      <c r="H47" s="41" t="s">
        <v>139</v>
      </c>
      <c r="I47" s="41" t="s">
        <v>139</v>
      </c>
      <c r="J47" s="13"/>
      <c r="L47" s="2"/>
    </row>
    <row r="48" spans="1:12" ht="18.75" x14ac:dyDescent="0.3">
      <c r="A48" s="6" t="s">
        <v>58</v>
      </c>
      <c r="B48" s="8"/>
      <c r="C48" s="4"/>
      <c r="D48" s="4" t="s">
        <v>47</v>
      </c>
      <c r="E48" s="41" t="s">
        <v>139</v>
      </c>
      <c r="F48" s="41" t="s">
        <v>139</v>
      </c>
      <c r="G48" s="14" t="s">
        <v>53</v>
      </c>
      <c r="H48" s="41" t="s">
        <v>139</v>
      </c>
      <c r="I48" s="41" t="s">
        <v>139</v>
      </c>
      <c r="J48" s="13"/>
      <c r="L48" s="2"/>
    </row>
    <row r="49" spans="1:12" ht="24" customHeight="1" x14ac:dyDescent="0.3">
      <c r="A49" s="6" t="s">
        <v>60</v>
      </c>
      <c r="B49" s="8"/>
      <c r="C49" s="4"/>
      <c r="D49" s="4" t="s">
        <v>48</v>
      </c>
      <c r="E49" s="41" t="s">
        <v>139</v>
      </c>
      <c r="F49" s="41" t="s">
        <v>139</v>
      </c>
      <c r="G49" s="14" t="s">
        <v>53</v>
      </c>
      <c r="H49" s="41" t="s">
        <v>139</v>
      </c>
      <c r="I49" s="41" t="s">
        <v>139</v>
      </c>
      <c r="J49" s="13"/>
      <c r="L49" s="2"/>
    </row>
    <row r="50" spans="1:12" ht="18.75" x14ac:dyDescent="0.3">
      <c r="A50" s="6" t="s">
        <v>65</v>
      </c>
      <c r="B50" s="5"/>
      <c r="C50" s="4"/>
      <c r="D50" s="4" t="s">
        <v>92</v>
      </c>
      <c r="E50" s="41" t="s">
        <v>139</v>
      </c>
      <c r="F50" s="41" t="s">
        <v>139</v>
      </c>
      <c r="G50" s="14" t="s">
        <v>54</v>
      </c>
      <c r="H50" s="41" t="s">
        <v>139</v>
      </c>
      <c r="I50" s="41" t="s">
        <v>139</v>
      </c>
      <c r="J50" s="13"/>
      <c r="L50" s="2"/>
    </row>
    <row r="51" spans="1:12" ht="18.75" x14ac:dyDescent="0.3">
      <c r="A51" s="28"/>
      <c r="B51" s="22"/>
      <c r="C51" s="22"/>
      <c r="D51" s="22"/>
      <c r="E51" s="49"/>
      <c r="F51" s="49"/>
      <c r="G51" s="12"/>
      <c r="H51" s="41"/>
      <c r="I51" s="41">
        <f>SUM(I38:I50)</f>
        <v>3144.8</v>
      </c>
      <c r="J51" s="13"/>
      <c r="L51" s="2"/>
    </row>
    <row r="52" spans="1:12" ht="18.75" x14ac:dyDescent="0.3">
      <c r="A52" s="67" t="s">
        <v>67</v>
      </c>
      <c r="B52" s="68"/>
      <c r="C52" s="68"/>
      <c r="D52" s="68"/>
      <c r="E52" s="68"/>
      <c r="F52" s="68"/>
      <c r="G52" s="69"/>
      <c r="H52" s="18"/>
      <c r="I52" s="5"/>
      <c r="J52" s="13"/>
      <c r="L52" s="2"/>
    </row>
    <row r="53" spans="1:12" ht="37.5" x14ac:dyDescent="0.25">
      <c r="A53" s="9" t="s">
        <v>29</v>
      </c>
      <c r="B53" s="8"/>
      <c r="C53" s="4"/>
      <c r="D53" s="15" t="s">
        <v>142</v>
      </c>
      <c r="E53" s="41"/>
      <c r="F53" s="41">
        <f>8</f>
        <v>8</v>
      </c>
      <c r="G53" s="13" t="s">
        <v>54</v>
      </c>
      <c r="H53" s="41">
        <f>1271/F53</f>
        <v>158.875</v>
      </c>
      <c r="I53" s="41">
        <f>F53*H53</f>
        <v>1271</v>
      </c>
      <c r="J53" s="13" t="s">
        <v>120</v>
      </c>
      <c r="L53" s="2"/>
    </row>
    <row r="54" spans="1:12" ht="46.5" customHeight="1" x14ac:dyDescent="0.25">
      <c r="A54" s="9" t="s">
        <v>91</v>
      </c>
      <c r="B54" s="8"/>
      <c r="C54" s="4"/>
      <c r="D54" s="42" t="s">
        <v>125</v>
      </c>
      <c r="E54" s="32"/>
      <c r="F54" s="13">
        <f>652.3</f>
        <v>652.29999999999995</v>
      </c>
      <c r="G54" s="13" t="s">
        <v>112</v>
      </c>
      <c r="H54" s="33">
        <f>(2747.2+2747.2+2747.2+2808.4+2808.4+2808.4+2884+2884+2884+2974.8+2974.8+2974.8)/F54</f>
        <v>52.496090755787215</v>
      </c>
      <c r="I54" s="33">
        <f t="shared" ref="I54:I55" si="1">F54*H54</f>
        <v>34243.199999999997</v>
      </c>
      <c r="J54" s="13" t="s">
        <v>115</v>
      </c>
      <c r="L54" s="2"/>
    </row>
    <row r="55" spans="1:12" ht="46.5" customHeight="1" x14ac:dyDescent="0.25">
      <c r="A55" s="9"/>
      <c r="B55" s="8"/>
      <c r="C55" s="4"/>
      <c r="D55" s="15" t="s">
        <v>111</v>
      </c>
      <c r="E55" s="32"/>
      <c r="F55" s="13">
        <f>714</f>
        <v>714</v>
      </c>
      <c r="G55" s="13" t="s">
        <v>30</v>
      </c>
      <c r="H55" s="33">
        <f>59645.2/F55</f>
        <v>83.536694677871139</v>
      </c>
      <c r="I55" s="33">
        <f t="shared" si="1"/>
        <v>59645.2</v>
      </c>
      <c r="J55" s="13" t="s">
        <v>117</v>
      </c>
      <c r="L55" s="2"/>
    </row>
    <row r="56" spans="1:12" ht="46.5" customHeight="1" x14ac:dyDescent="0.25">
      <c r="A56" s="9"/>
      <c r="B56" s="8"/>
      <c r="C56" s="4"/>
      <c r="D56" s="15" t="s">
        <v>154</v>
      </c>
      <c r="E56" s="41" t="s">
        <v>139</v>
      </c>
      <c r="F56" s="41">
        <f>8+1</f>
        <v>9</v>
      </c>
      <c r="G56" s="13" t="s">
        <v>31</v>
      </c>
      <c r="H56" s="46">
        <f>(11195.6+1400.2)/F56</f>
        <v>1399.5333333333335</v>
      </c>
      <c r="I56" s="41">
        <f>F56*H56</f>
        <v>12595.800000000001</v>
      </c>
      <c r="J56" s="13" t="s">
        <v>120</v>
      </c>
      <c r="L56" s="2"/>
    </row>
    <row r="57" spans="1:12" ht="46.5" customHeight="1" x14ac:dyDescent="0.25">
      <c r="A57" s="9"/>
      <c r="B57" s="8"/>
      <c r="C57" s="4"/>
      <c r="D57" s="15" t="s">
        <v>173</v>
      </c>
      <c r="E57" s="41" t="s">
        <v>139</v>
      </c>
      <c r="F57" s="41" t="s">
        <v>139</v>
      </c>
      <c r="G57" s="13" t="s">
        <v>31</v>
      </c>
      <c r="H57" s="41" t="s">
        <v>139</v>
      </c>
      <c r="I57" s="41" t="s">
        <v>139</v>
      </c>
      <c r="J57" s="13"/>
      <c r="L57" s="2"/>
    </row>
    <row r="58" spans="1:12" ht="46.5" customHeight="1" x14ac:dyDescent="0.25">
      <c r="A58" s="9"/>
      <c r="B58" s="8"/>
      <c r="C58" s="4"/>
      <c r="D58" s="15" t="s">
        <v>205</v>
      </c>
      <c r="E58" s="41" t="s">
        <v>139</v>
      </c>
      <c r="F58" s="41" t="s">
        <v>139</v>
      </c>
      <c r="G58" s="13" t="s">
        <v>31</v>
      </c>
      <c r="H58" s="41" t="s">
        <v>139</v>
      </c>
      <c r="I58" s="41" t="s">
        <v>139</v>
      </c>
      <c r="J58" s="13"/>
      <c r="L58" s="2"/>
    </row>
    <row r="59" spans="1:12" ht="46.5" customHeight="1" x14ac:dyDescent="0.25">
      <c r="A59" s="9"/>
      <c r="B59" s="8"/>
      <c r="C59" s="4"/>
      <c r="D59" s="15" t="s">
        <v>153</v>
      </c>
      <c r="E59" s="41" t="s">
        <v>139</v>
      </c>
      <c r="F59" s="41" t="s">
        <v>139</v>
      </c>
      <c r="G59" s="13" t="s">
        <v>31</v>
      </c>
      <c r="H59" s="41" t="s">
        <v>139</v>
      </c>
      <c r="I59" s="41" t="s">
        <v>139</v>
      </c>
      <c r="J59" s="13"/>
      <c r="L59" s="2"/>
    </row>
    <row r="60" spans="1:12" ht="46.5" customHeight="1" x14ac:dyDescent="0.25">
      <c r="A60" s="9"/>
      <c r="B60" s="8"/>
      <c r="C60" s="4"/>
      <c r="D60" s="15" t="s">
        <v>174</v>
      </c>
      <c r="E60" s="41" t="s">
        <v>139</v>
      </c>
      <c r="F60" s="41" t="s">
        <v>139</v>
      </c>
      <c r="G60" s="13" t="s">
        <v>31</v>
      </c>
      <c r="H60" s="41" t="s">
        <v>139</v>
      </c>
      <c r="I60" s="41" t="s">
        <v>139</v>
      </c>
      <c r="J60" s="13"/>
      <c r="L60" s="2"/>
    </row>
    <row r="61" spans="1:12" ht="46.5" customHeight="1" x14ac:dyDescent="0.25">
      <c r="A61" s="9"/>
      <c r="B61" s="8"/>
      <c r="C61" s="4"/>
      <c r="D61" s="15" t="s">
        <v>175</v>
      </c>
      <c r="E61" s="41"/>
      <c r="F61" s="41">
        <f>2</f>
        <v>2</v>
      </c>
      <c r="G61" s="13" t="s">
        <v>31</v>
      </c>
      <c r="H61" s="41">
        <f>2913.8/F61</f>
        <v>1456.9</v>
      </c>
      <c r="I61" s="41">
        <f t="shared" ref="I61" si="2">F61*H61</f>
        <v>2913.8</v>
      </c>
      <c r="J61" s="13" t="s">
        <v>117</v>
      </c>
      <c r="L61" s="2"/>
    </row>
    <row r="62" spans="1:12" ht="46.5" customHeight="1" x14ac:dyDescent="0.25">
      <c r="A62" s="9"/>
      <c r="B62" s="8"/>
      <c r="C62" s="4"/>
      <c r="D62" s="15" t="s">
        <v>165</v>
      </c>
      <c r="E62" s="41" t="s">
        <v>139</v>
      </c>
      <c r="F62" s="41" t="s">
        <v>139</v>
      </c>
      <c r="G62" s="13" t="s">
        <v>150</v>
      </c>
      <c r="H62" s="41" t="s">
        <v>139</v>
      </c>
      <c r="I62" s="41" t="s">
        <v>139</v>
      </c>
      <c r="J62" s="13"/>
      <c r="L62" s="2"/>
    </row>
    <row r="63" spans="1:12" ht="46.5" customHeight="1" x14ac:dyDescent="0.25">
      <c r="A63" s="9"/>
      <c r="B63" s="8"/>
      <c r="C63" s="4"/>
      <c r="D63" s="15" t="s">
        <v>169</v>
      </c>
      <c r="E63" s="31"/>
      <c r="F63" s="31">
        <f>4+10+1</f>
        <v>15</v>
      </c>
      <c r="G63" s="13" t="s">
        <v>30</v>
      </c>
      <c r="H63" s="48">
        <f>(1276.4+3457.2+346.6)/F63</f>
        <v>338.68000000000006</v>
      </c>
      <c r="I63" s="74">
        <f t="shared" ref="I63:I69" si="3">F63*H63</f>
        <v>5080.2000000000007</v>
      </c>
      <c r="J63" s="13" t="s">
        <v>117</v>
      </c>
      <c r="L63" s="2"/>
    </row>
    <row r="64" spans="1:12" ht="85.5" customHeight="1" x14ac:dyDescent="0.25">
      <c r="A64" s="9"/>
      <c r="B64" s="8"/>
      <c r="C64" s="4"/>
      <c r="D64" s="15" t="s">
        <v>202</v>
      </c>
      <c r="E64" s="41"/>
      <c r="F64" s="41">
        <f>4</f>
        <v>4</v>
      </c>
      <c r="G64" s="13" t="s">
        <v>168</v>
      </c>
      <c r="H64" s="41">
        <f>85.8/F64</f>
        <v>21.45</v>
      </c>
      <c r="I64" s="75">
        <f t="shared" si="3"/>
        <v>85.8</v>
      </c>
      <c r="J64" s="13" t="s">
        <v>117</v>
      </c>
      <c r="L64" s="2"/>
    </row>
    <row r="65" spans="1:12" ht="73.5" customHeight="1" x14ac:dyDescent="0.25">
      <c r="A65" s="9"/>
      <c r="B65" s="8"/>
      <c r="C65" s="4"/>
      <c r="D65" s="15" t="s">
        <v>203</v>
      </c>
      <c r="E65" s="41"/>
      <c r="F65" s="41">
        <v>4</v>
      </c>
      <c r="G65" s="13" t="s">
        <v>30</v>
      </c>
      <c r="H65" s="41">
        <f>1457/F65</f>
        <v>364.25</v>
      </c>
      <c r="I65" s="75">
        <f t="shared" si="3"/>
        <v>1457</v>
      </c>
      <c r="J65" s="13" t="s">
        <v>117</v>
      </c>
      <c r="L65" s="2"/>
    </row>
    <row r="66" spans="1:12" ht="93" customHeight="1" x14ac:dyDescent="0.25">
      <c r="A66" s="9"/>
      <c r="B66" s="8"/>
      <c r="C66" s="4"/>
      <c r="D66" s="15" t="s">
        <v>170</v>
      </c>
      <c r="E66" s="41"/>
      <c r="F66" s="41">
        <f>12+2</f>
        <v>14</v>
      </c>
      <c r="G66" s="13" t="s">
        <v>168</v>
      </c>
      <c r="H66" s="46">
        <f>(413.8+68.4)/F66</f>
        <v>34.442857142857143</v>
      </c>
      <c r="I66" s="75">
        <f t="shared" ref="I66:I67" si="4">F66*H66</f>
        <v>482.2</v>
      </c>
      <c r="J66" s="13" t="s">
        <v>120</v>
      </c>
      <c r="L66" s="2"/>
    </row>
    <row r="67" spans="1:12" ht="73.5" customHeight="1" x14ac:dyDescent="0.25">
      <c r="A67" s="9"/>
      <c r="B67" s="8"/>
      <c r="C67" s="4"/>
      <c r="D67" s="15" t="s">
        <v>208</v>
      </c>
      <c r="E67" s="41"/>
      <c r="F67" s="41">
        <f>10+1</f>
        <v>11</v>
      </c>
      <c r="G67" s="13" t="s">
        <v>30</v>
      </c>
      <c r="H67" s="46">
        <f>(4662+706.6)/F67</f>
        <v>488.05454545454546</v>
      </c>
      <c r="I67" s="75">
        <f t="shared" si="4"/>
        <v>5368.6</v>
      </c>
      <c r="J67" s="13" t="s">
        <v>120</v>
      </c>
      <c r="L67" s="2"/>
    </row>
    <row r="68" spans="1:12" ht="46.5" customHeight="1" x14ac:dyDescent="0.25">
      <c r="A68" s="9"/>
      <c r="B68" s="8"/>
      <c r="C68" s="4"/>
      <c r="D68" s="15" t="s">
        <v>201</v>
      </c>
      <c r="E68" s="41"/>
      <c r="F68" s="41">
        <f>1+1</f>
        <v>2</v>
      </c>
      <c r="G68" s="13" t="s">
        <v>31</v>
      </c>
      <c r="H68" s="41">
        <f>(500.8+500.8)/F68</f>
        <v>500.8</v>
      </c>
      <c r="I68" s="73">
        <f t="shared" si="3"/>
        <v>1001.6</v>
      </c>
      <c r="J68" s="13" t="s">
        <v>148</v>
      </c>
      <c r="L68" s="2"/>
    </row>
    <row r="69" spans="1:12" ht="46.5" customHeight="1" x14ac:dyDescent="0.25">
      <c r="A69" s="9"/>
      <c r="B69" s="8"/>
      <c r="C69" s="4"/>
      <c r="D69" s="15" t="s">
        <v>132</v>
      </c>
      <c r="E69" s="41"/>
      <c r="F69" s="41">
        <f>4</f>
        <v>4</v>
      </c>
      <c r="G69" s="13" t="s">
        <v>31</v>
      </c>
      <c r="H69" s="41">
        <f>4695.8/F69</f>
        <v>1173.95</v>
      </c>
      <c r="I69" s="73">
        <f t="shared" si="3"/>
        <v>4695.8</v>
      </c>
      <c r="J69" s="13" t="s">
        <v>117</v>
      </c>
      <c r="L69" s="2"/>
    </row>
    <row r="70" spans="1:12" ht="31.5" x14ac:dyDescent="0.25">
      <c r="A70" s="9" t="s">
        <v>83</v>
      </c>
      <c r="B70" s="8"/>
      <c r="C70" s="4"/>
      <c r="D70" s="15" t="s">
        <v>158</v>
      </c>
      <c r="E70" s="41"/>
      <c r="F70" s="41"/>
      <c r="G70" s="13" t="s">
        <v>54</v>
      </c>
      <c r="H70" s="41"/>
      <c r="I70" s="41"/>
      <c r="J70" s="13"/>
      <c r="L70" s="2"/>
    </row>
    <row r="71" spans="1:12" ht="31.5" x14ac:dyDescent="0.25">
      <c r="A71" s="9"/>
      <c r="B71" s="8"/>
      <c r="C71" s="4"/>
      <c r="D71" s="15" t="s">
        <v>159</v>
      </c>
      <c r="E71" s="41" t="s">
        <v>139</v>
      </c>
      <c r="F71" s="41" t="s">
        <v>139</v>
      </c>
      <c r="G71" s="13" t="s">
        <v>54</v>
      </c>
      <c r="H71" s="41" t="s">
        <v>139</v>
      </c>
      <c r="I71" s="41" t="s">
        <v>139</v>
      </c>
      <c r="J71" s="13"/>
      <c r="L71" s="2"/>
    </row>
    <row r="72" spans="1:12" ht="18.75" x14ac:dyDescent="0.25">
      <c r="A72" s="9"/>
      <c r="B72" s="8"/>
      <c r="C72" s="4"/>
      <c r="D72" s="15" t="s">
        <v>192</v>
      </c>
      <c r="E72" s="41"/>
      <c r="F72" s="41">
        <f>4+2</f>
        <v>6</v>
      </c>
      <c r="G72" s="13" t="s">
        <v>31</v>
      </c>
      <c r="H72" s="46">
        <f>(4505.6+2394.2)/F72</f>
        <v>1149.9666666666667</v>
      </c>
      <c r="I72" s="73">
        <f t="shared" ref="I72" si="5">F72*H72</f>
        <v>6899.8</v>
      </c>
      <c r="J72" s="13" t="s">
        <v>115</v>
      </c>
      <c r="L72" s="2"/>
    </row>
    <row r="73" spans="1:12" ht="18.75" x14ac:dyDescent="0.25">
      <c r="A73" s="9"/>
      <c r="B73" s="8"/>
      <c r="C73" s="4"/>
      <c r="D73" s="15" t="s">
        <v>149</v>
      </c>
      <c r="E73" s="41" t="s">
        <v>139</v>
      </c>
      <c r="F73" s="41" t="s">
        <v>139</v>
      </c>
      <c r="G73" s="13" t="s">
        <v>31</v>
      </c>
      <c r="H73" s="41" t="s">
        <v>139</v>
      </c>
      <c r="I73" s="41" t="s">
        <v>139</v>
      </c>
      <c r="J73" s="13"/>
      <c r="L73" s="2"/>
    </row>
    <row r="74" spans="1:12" ht="31.5" x14ac:dyDescent="0.25">
      <c r="A74" s="9"/>
      <c r="B74" s="8"/>
      <c r="C74" s="4"/>
      <c r="D74" s="15" t="s">
        <v>167</v>
      </c>
      <c r="E74" s="41" t="s">
        <v>139</v>
      </c>
      <c r="F74" s="41" t="s">
        <v>139</v>
      </c>
      <c r="G74" s="13" t="s">
        <v>168</v>
      </c>
      <c r="H74" s="41" t="s">
        <v>139</v>
      </c>
      <c r="I74" s="41" t="s">
        <v>139</v>
      </c>
      <c r="J74" s="13"/>
      <c r="L74" s="2"/>
    </row>
    <row r="75" spans="1:12" ht="31.5" x14ac:dyDescent="0.25">
      <c r="A75" s="9"/>
      <c r="B75" s="8"/>
      <c r="C75" s="4"/>
      <c r="D75" s="15" t="s">
        <v>166</v>
      </c>
      <c r="E75" s="41" t="s">
        <v>139</v>
      </c>
      <c r="F75" s="41" t="s">
        <v>139</v>
      </c>
      <c r="G75" s="13" t="s">
        <v>31</v>
      </c>
      <c r="H75" s="41" t="s">
        <v>139</v>
      </c>
      <c r="I75" s="41" t="s">
        <v>139</v>
      </c>
      <c r="J75" s="13"/>
      <c r="L75" s="2"/>
    </row>
    <row r="76" spans="1:12" ht="18.75" x14ac:dyDescent="0.25">
      <c r="A76" s="9"/>
      <c r="B76" s="8"/>
      <c r="C76" s="4"/>
      <c r="D76" s="15" t="s">
        <v>160</v>
      </c>
      <c r="E76" s="41" t="s">
        <v>139</v>
      </c>
      <c r="F76" s="41" t="s">
        <v>139</v>
      </c>
      <c r="G76" s="13" t="s">
        <v>161</v>
      </c>
      <c r="H76" s="41" t="s">
        <v>139</v>
      </c>
      <c r="I76" s="41" t="s">
        <v>139</v>
      </c>
      <c r="J76" s="13"/>
      <c r="L76" s="2"/>
    </row>
    <row r="77" spans="1:12" ht="18.75" x14ac:dyDescent="0.25">
      <c r="A77" s="9" t="s">
        <v>20</v>
      </c>
      <c r="B77" s="8"/>
      <c r="C77" s="4"/>
      <c r="D77" s="15" t="s">
        <v>68</v>
      </c>
      <c r="E77" s="41" t="s">
        <v>139</v>
      </c>
      <c r="F77" s="41" t="s">
        <v>139</v>
      </c>
      <c r="G77" s="13" t="s">
        <v>30</v>
      </c>
      <c r="H77" s="41" t="s">
        <v>139</v>
      </c>
      <c r="I77" s="41" t="s">
        <v>139</v>
      </c>
      <c r="J77" s="13"/>
      <c r="L77" s="2"/>
    </row>
    <row r="78" spans="1:12" ht="31.5" x14ac:dyDescent="0.25">
      <c r="A78" s="9" t="s">
        <v>21</v>
      </c>
      <c r="B78" s="8"/>
      <c r="C78" s="4"/>
      <c r="D78" s="15" t="s">
        <v>70</v>
      </c>
      <c r="E78" s="41" t="s">
        <v>139</v>
      </c>
      <c r="F78" s="41" t="s">
        <v>139</v>
      </c>
      <c r="G78" s="13" t="s">
        <v>54</v>
      </c>
      <c r="H78" s="41" t="s">
        <v>139</v>
      </c>
      <c r="I78" s="41" t="s">
        <v>139</v>
      </c>
      <c r="J78" s="13"/>
      <c r="L78" s="2"/>
    </row>
    <row r="79" spans="1:12" ht="18.75" x14ac:dyDescent="0.25">
      <c r="A79" s="50"/>
      <c r="B79" s="51"/>
      <c r="C79" s="22"/>
      <c r="D79" s="30"/>
      <c r="E79" s="49"/>
      <c r="F79" s="49"/>
      <c r="G79" s="31"/>
      <c r="H79" s="41"/>
      <c r="I79" s="41">
        <f>SUM(I53:I78)</f>
        <v>135740</v>
      </c>
      <c r="J79" s="13"/>
      <c r="L79" s="2"/>
    </row>
    <row r="80" spans="1:12" ht="18.75" x14ac:dyDescent="0.3">
      <c r="A80" s="63" t="s">
        <v>71</v>
      </c>
      <c r="B80" s="64"/>
      <c r="C80" s="64"/>
      <c r="D80" s="64"/>
      <c r="E80" s="64"/>
      <c r="F80" s="64"/>
      <c r="G80" s="65"/>
      <c r="H80" s="19"/>
      <c r="I80" s="5"/>
      <c r="J80" s="13"/>
      <c r="L80" s="2"/>
    </row>
    <row r="81" spans="1:12" ht="37.5" x14ac:dyDescent="0.25">
      <c r="A81" s="9" t="s">
        <v>91</v>
      </c>
      <c r="B81" s="8"/>
      <c r="C81" s="4"/>
      <c r="D81" s="4" t="s">
        <v>128</v>
      </c>
      <c r="E81" s="41" t="s">
        <v>139</v>
      </c>
      <c r="F81" s="41" t="s">
        <v>139</v>
      </c>
      <c r="G81" s="13" t="s">
        <v>114</v>
      </c>
      <c r="H81" s="41" t="s">
        <v>139</v>
      </c>
      <c r="I81" s="41" t="s">
        <v>139</v>
      </c>
      <c r="J81" s="13"/>
      <c r="L81" s="2"/>
    </row>
    <row r="82" spans="1:12" ht="18.75" x14ac:dyDescent="0.25">
      <c r="A82" s="9" t="s">
        <v>83</v>
      </c>
      <c r="B82" s="8"/>
      <c r="C82" s="4"/>
      <c r="D82" s="15" t="s">
        <v>69</v>
      </c>
      <c r="E82" s="41" t="s">
        <v>139</v>
      </c>
      <c r="F82" s="41" t="s">
        <v>139</v>
      </c>
      <c r="G82" s="13" t="s">
        <v>54</v>
      </c>
      <c r="H82" s="41" t="s">
        <v>139</v>
      </c>
      <c r="I82" s="41" t="s">
        <v>139</v>
      </c>
      <c r="J82" s="13"/>
      <c r="L82" s="2"/>
    </row>
    <row r="83" spans="1:12" ht="18.75" x14ac:dyDescent="0.25">
      <c r="A83" s="9"/>
      <c r="B83" s="8"/>
      <c r="C83" s="4"/>
      <c r="D83" s="15" t="s">
        <v>178</v>
      </c>
      <c r="E83" s="41" t="s">
        <v>139</v>
      </c>
      <c r="F83" s="41" t="s">
        <v>139</v>
      </c>
      <c r="G83" s="13" t="s">
        <v>31</v>
      </c>
      <c r="H83" s="41" t="s">
        <v>139</v>
      </c>
      <c r="I83" s="41" t="s">
        <v>139</v>
      </c>
      <c r="J83" s="13"/>
      <c r="L83" s="2"/>
    </row>
    <row r="84" spans="1:12" ht="31.5" x14ac:dyDescent="0.25">
      <c r="A84" s="9" t="s">
        <v>21</v>
      </c>
      <c r="B84" s="8"/>
      <c r="C84" s="4"/>
      <c r="D84" s="15" t="s">
        <v>70</v>
      </c>
      <c r="E84" s="41" t="s">
        <v>139</v>
      </c>
      <c r="F84" s="41" t="s">
        <v>139</v>
      </c>
      <c r="G84" s="13" t="s">
        <v>143</v>
      </c>
      <c r="H84" s="41" t="s">
        <v>139</v>
      </c>
      <c r="I84" s="41" t="s">
        <v>139</v>
      </c>
      <c r="J84" s="13"/>
      <c r="L84" s="2"/>
    </row>
    <row r="85" spans="1:12" ht="18.75" x14ac:dyDescent="0.25">
      <c r="A85" s="50"/>
      <c r="B85" s="51"/>
      <c r="C85" s="22"/>
      <c r="D85" s="30"/>
      <c r="E85" s="49"/>
      <c r="F85" s="49"/>
      <c r="G85" s="31"/>
      <c r="H85" s="41"/>
      <c r="I85" s="41"/>
      <c r="J85" s="13"/>
      <c r="L85" s="2"/>
    </row>
    <row r="86" spans="1:12" ht="18.75" x14ac:dyDescent="0.3">
      <c r="A86" s="63" t="s">
        <v>72</v>
      </c>
      <c r="B86" s="64"/>
      <c r="C86" s="64"/>
      <c r="D86" s="64"/>
      <c r="E86" s="64"/>
      <c r="F86" s="64"/>
      <c r="G86" s="65"/>
      <c r="H86" s="13"/>
      <c r="I86" s="5"/>
      <c r="J86" s="13"/>
      <c r="L86" s="2"/>
    </row>
    <row r="87" spans="1:12" ht="37.5" x14ac:dyDescent="0.25">
      <c r="A87" s="9" t="s">
        <v>91</v>
      </c>
      <c r="B87" s="8"/>
      <c r="C87" s="4"/>
      <c r="D87" s="4" t="s">
        <v>182</v>
      </c>
      <c r="E87" s="31"/>
      <c r="F87" s="13">
        <f>4+5+6+6+4+3+4+3+6+6+3+6</f>
        <v>56</v>
      </c>
      <c r="G87" s="13" t="s">
        <v>114</v>
      </c>
      <c r="H87" s="33">
        <f>(2527.8+3157.8+3790.6+3876.4+2584.8+1939+2653.4+1988.8+3978.4+4103+2052.2+4103)/F87/2</f>
        <v>328.17142857142863</v>
      </c>
      <c r="I87" s="13">
        <f>F87*H87</f>
        <v>18377.600000000002</v>
      </c>
      <c r="J87" s="13" t="s">
        <v>115</v>
      </c>
      <c r="L87" s="2"/>
    </row>
    <row r="88" spans="1:12" ht="31.5" x14ac:dyDescent="0.25">
      <c r="A88" s="9"/>
      <c r="B88" s="8"/>
      <c r="C88" s="4"/>
      <c r="D88" s="15" t="s">
        <v>169</v>
      </c>
      <c r="E88" s="31"/>
      <c r="F88" s="31"/>
      <c r="G88" s="13" t="s">
        <v>30</v>
      </c>
      <c r="H88" s="48"/>
      <c r="I88" s="48"/>
      <c r="J88" s="13"/>
      <c r="L88" s="2"/>
    </row>
    <row r="89" spans="1:12" ht="78.75" x14ac:dyDescent="0.25">
      <c r="A89" s="9"/>
      <c r="B89" s="8"/>
      <c r="C89" s="4"/>
      <c r="D89" s="15" t="s">
        <v>170</v>
      </c>
      <c r="E89" s="41"/>
      <c r="F89" s="41"/>
      <c r="G89" s="13" t="s">
        <v>168</v>
      </c>
      <c r="H89" s="41"/>
      <c r="I89" s="46"/>
      <c r="J89" s="13"/>
      <c r="L89" s="2"/>
    </row>
    <row r="90" spans="1:12" ht="47.25" x14ac:dyDescent="0.25">
      <c r="A90" s="9"/>
      <c r="B90" s="8"/>
      <c r="C90" s="4"/>
      <c r="D90" s="15" t="s">
        <v>208</v>
      </c>
      <c r="E90" s="41"/>
      <c r="F90" s="41"/>
      <c r="G90" s="13" t="s">
        <v>30</v>
      </c>
      <c r="H90" s="41"/>
      <c r="I90" s="46"/>
      <c r="J90" s="13"/>
      <c r="L90" s="2"/>
    </row>
    <row r="91" spans="1:12" ht="78.75" x14ac:dyDescent="0.25">
      <c r="A91" s="9"/>
      <c r="B91" s="8"/>
      <c r="C91" s="4"/>
      <c r="D91" s="15" t="s">
        <v>171</v>
      </c>
      <c r="E91" s="31"/>
      <c r="F91" s="31"/>
      <c r="G91" s="13" t="s">
        <v>168</v>
      </c>
      <c r="H91" s="31"/>
      <c r="I91" s="48"/>
      <c r="J91" s="13"/>
      <c r="L91" s="2"/>
    </row>
    <row r="92" spans="1:12" ht="18.75" x14ac:dyDescent="0.25">
      <c r="A92" s="9" t="s">
        <v>83</v>
      </c>
      <c r="B92" s="8"/>
      <c r="C92" s="4"/>
      <c r="D92" s="15" t="s">
        <v>69</v>
      </c>
      <c r="E92" s="41" t="s">
        <v>139</v>
      </c>
      <c r="F92" s="41" t="s">
        <v>139</v>
      </c>
      <c r="G92" s="14" t="s">
        <v>54</v>
      </c>
      <c r="H92" s="41" t="s">
        <v>139</v>
      </c>
      <c r="I92" s="46" t="s">
        <v>139</v>
      </c>
      <c r="J92" s="13"/>
      <c r="L92" s="2"/>
    </row>
    <row r="93" spans="1:12" ht="31.5" x14ac:dyDescent="0.25">
      <c r="A93" s="9" t="s">
        <v>21</v>
      </c>
      <c r="B93" s="8"/>
      <c r="C93" s="4"/>
      <c r="D93" s="15" t="s">
        <v>70</v>
      </c>
      <c r="E93" s="41" t="s">
        <v>139</v>
      </c>
      <c r="F93" s="41" t="s">
        <v>139</v>
      </c>
      <c r="G93" s="14" t="s">
        <v>54</v>
      </c>
      <c r="H93" s="41" t="s">
        <v>139</v>
      </c>
      <c r="I93" s="46" t="s">
        <v>139</v>
      </c>
      <c r="J93" s="13"/>
      <c r="L93" s="2"/>
    </row>
    <row r="94" spans="1:12" ht="18.75" x14ac:dyDescent="0.25">
      <c r="A94" s="50"/>
      <c r="B94" s="51"/>
      <c r="C94" s="22"/>
      <c r="D94" s="30"/>
      <c r="E94" s="49"/>
      <c r="F94" s="49"/>
      <c r="G94" s="12"/>
      <c r="H94" s="41"/>
      <c r="I94" s="46">
        <f>SUM(I87:I93)</f>
        <v>18377.600000000002</v>
      </c>
      <c r="J94" s="13"/>
      <c r="L94" s="2"/>
    </row>
    <row r="95" spans="1:12" ht="18.75" x14ac:dyDescent="0.3">
      <c r="A95" s="63" t="s">
        <v>73</v>
      </c>
      <c r="B95" s="64"/>
      <c r="C95" s="64"/>
      <c r="D95" s="64"/>
      <c r="E95" s="64"/>
      <c r="F95" s="64"/>
      <c r="G95" s="65"/>
      <c r="H95" s="19"/>
      <c r="I95" s="5"/>
      <c r="J95" s="13"/>
      <c r="L95" s="2"/>
    </row>
    <row r="96" spans="1:12" ht="37.5" x14ac:dyDescent="0.25">
      <c r="A96" s="9" t="s">
        <v>97</v>
      </c>
      <c r="B96" s="8"/>
      <c r="C96" s="4"/>
      <c r="D96" s="4" t="s">
        <v>129</v>
      </c>
      <c r="E96" s="31"/>
      <c r="F96" s="13">
        <f>4+5+6+6+4+3+4+3+6+6+3+6</f>
        <v>56</v>
      </c>
      <c r="G96" s="13" t="s">
        <v>114</v>
      </c>
      <c r="H96" s="33">
        <f>(2527.8+3157.8+3790.6+3876.4+2584.8+1939+2653.4+1988.8+3978.4+4103+2052.2+4103)/F96/2</f>
        <v>328.17142857142863</v>
      </c>
      <c r="I96" s="13">
        <f>F96*H96</f>
        <v>18377.600000000002</v>
      </c>
      <c r="J96" s="13" t="s">
        <v>115</v>
      </c>
      <c r="L96" s="2"/>
    </row>
    <row r="97" spans="1:12" ht="31.5" x14ac:dyDescent="0.25">
      <c r="A97" s="9"/>
      <c r="B97" s="8"/>
      <c r="C97" s="4"/>
      <c r="D97" s="15" t="s">
        <v>121</v>
      </c>
      <c r="E97" s="41"/>
      <c r="F97" s="41"/>
      <c r="G97" s="13" t="s">
        <v>30</v>
      </c>
      <c r="H97" s="41"/>
      <c r="I97" s="46"/>
      <c r="J97" s="13"/>
      <c r="L97" s="2"/>
    </row>
    <row r="98" spans="1:12" ht="31.5" x14ac:dyDescent="0.25">
      <c r="A98" s="9"/>
      <c r="B98" s="8"/>
      <c r="C98" s="4"/>
      <c r="D98" s="15" t="s">
        <v>193</v>
      </c>
      <c r="E98" s="41"/>
      <c r="F98" s="41"/>
      <c r="G98" s="13" t="s">
        <v>146</v>
      </c>
      <c r="H98" s="41"/>
      <c r="I98" s="46"/>
      <c r="J98" s="13"/>
      <c r="L98" s="2"/>
    </row>
    <row r="99" spans="1:12" ht="31.5" x14ac:dyDescent="0.25">
      <c r="A99" s="9"/>
      <c r="B99" s="8"/>
      <c r="C99" s="4"/>
      <c r="D99" s="15" t="s">
        <v>194</v>
      </c>
      <c r="E99" s="41"/>
      <c r="F99" s="41"/>
      <c r="G99" s="13" t="s">
        <v>146</v>
      </c>
      <c r="H99" s="41"/>
      <c r="I99" s="46"/>
      <c r="J99" s="13"/>
      <c r="L99" s="2"/>
    </row>
    <row r="100" spans="1:12" ht="18.75" x14ac:dyDescent="0.25">
      <c r="A100" s="9"/>
      <c r="B100" s="8"/>
      <c r="C100" s="4"/>
      <c r="D100" s="4" t="s">
        <v>113</v>
      </c>
      <c r="E100" s="41"/>
      <c r="F100" s="41">
        <f>6+5+3+3+4+6+6+6+5</f>
        <v>44</v>
      </c>
      <c r="G100" s="13" t="s">
        <v>30</v>
      </c>
      <c r="H100" s="46">
        <f>(1805.6+1506.4+922.8+922.8+1265.2+1897.2+1897.2+1954.4+1631)/F100</f>
        <v>313.69545454545454</v>
      </c>
      <c r="I100" s="41">
        <f>F100*H100</f>
        <v>13802.6</v>
      </c>
      <c r="J100" s="13" t="s">
        <v>115</v>
      </c>
      <c r="L100" s="2"/>
    </row>
    <row r="101" spans="1:12" ht="18.75" x14ac:dyDescent="0.25">
      <c r="A101" s="9"/>
      <c r="B101" s="8"/>
      <c r="C101" s="4"/>
      <c r="D101" s="4" t="s">
        <v>152</v>
      </c>
      <c r="E101" s="41" t="s">
        <v>139</v>
      </c>
      <c r="F101" s="41" t="s">
        <v>139</v>
      </c>
      <c r="G101" s="13" t="s">
        <v>30</v>
      </c>
      <c r="H101" s="41" t="s">
        <v>139</v>
      </c>
      <c r="I101" s="41" t="s">
        <v>139</v>
      </c>
      <c r="J101" s="13"/>
      <c r="L101" s="2"/>
    </row>
    <row r="102" spans="1:12" ht="18.75" x14ac:dyDescent="0.25">
      <c r="A102" s="9"/>
      <c r="B102" s="8"/>
      <c r="C102" s="4"/>
      <c r="D102" s="4" t="s">
        <v>176</v>
      </c>
      <c r="E102" s="41" t="s">
        <v>139</v>
      </c>
      <c r="F102" s="41">
        <f>3</f>
        <v>3</v>
      </c>
      <c r="G102" s="13" t="s">
        <v>136</v>
      </c>
      <c r="H102" s="41">
        <f>177/F102</f>
        <v>59</v>
      </c>
      <c r="I102" s="41">
        <f>F102*H102</f>
        <v>177</v>
      </c>
      <c r="J102" s="13" t="s">
        <v>115</v>
      </c>
      <c r="L102" s="2"/>
    </row>
    <row r="103" spans="1:12" ht="18.75" x14ac:dyDescent="0.25">
      <c r="A103" s="9"/>
      <c r="B103" s="8"/>
      <c r="C103" s="4"/>
      <c r="D103" s="4" t="s">
        <v>177</v>
      </c>
      <c r="E103" s="41" t="s">
        <v>139</v>
      </c>
      <c r="F103" s="41" t="s">
        <v>139</v>
      </c>
      <c r="G103" s="13" t="s">
        <v>136</v>
      </c>
      <c r="H103" s="41" t="s">
        <v>139</v>
      </c>
      <c r="I103" s="41" t="s">
        <v>139</v>
      </c>
      <c r="J103" s="13"/>
      <c r="L103" s="2"/>
    </row>
    <row r="104" spans="1:12" ht="18.75" x14ac:dyDescent="0.25">
      <c r="A104" s="9" t="s">
        <v>22</v>
      </c>
      <c r="B104" s="8"/>
      <c r="C104" s="4"/>
      <c r="D104" s="4" t="s">
        <v>76</v>
      </c>
      <c r="E104" s="41" t="s">
        <v>139</v>
      </c>
      <c r="F104" s="41" t="s">
        <v>139</v>
      </c>
      <c r="G104" s="13" t="s">
        <v>30</v>
      </c>
      <c r="H104" s="41" t="s">
        <v>139</v>
      </c>
      <c r="I104" s="41" t="s">
        <v>139</v>
      </c>
      <c r="J104" s="13"/>
      <c r="L104" s="2"/>
    </row>
    <row r="105" spans="1:12" ht="18.75" x14ac:dyDescent="0.25">
      <c r="A105" s="50"/>
      <c r="B105" s="51"/>
      <c r="C105" s="22"/>
      <c r="D105" s="22"/>
      <c r="E105" s="49"/>
      <c r="F105" s="49"/>
      <c r="G105" s="31"/>
      <c r="H105" s="41"/>
      <c r="I105" s="46">
        <f>SUM(I96:I104)</f>
        <v>32357.200000000004</v>
      </c>
      <c r="J105" s="13"/>
      <c r="L105" s="2"/>
    </row>
    <row r="106" spans="1:12" ht="18.75" x14ac:dyDescent="0.3">
      <c r="A106" s="63" t="s">
        <v>78</v>
      </c>
      <c r="B106" s="64"/>
      <c r="C106" s="64"/>
      <c r="D106" s="64"/>
      <c r="E106" s="64"/>
      <c r="F106" s="64"/>
      <c r="G106" s="65"/>
      <c r="H106" s="5"/>
      <c r="I106" s="5"/>
      <c r="J106" s="13"/>
      <c r="L106" s="2"/>
    </row>
    <row r="107" spans="1:12" ht="38.25" customHeight="1" x14ac:dyDescent="0.25">
      <c r="A107" s="9" t="s">
        <v>23</v>
      </c>
      <c r="B107" s="5"/>
      <c r="C107" s="4"/>
      <c r="D107" s="15" t="s">
        <v>141</v>
      </c>
      <c r="E107" s="41" t="s">
        <v>139</v>
      </c>
      <c r="F107" s="41" t="s">
        <v>139</v>
      </c>
      <c r="G107" s="13" t="s">
        <v>54</v>
      </c>
      <c r="H107" s="41" t="s">
        <v>139</v>
      </c>
      <c r="I107" s="41" t="s">
        <v>139</v>
      </c>
      <c r="J107" s="13"/>
      <c r="L107" s="2"/>
    </row>
    <row r="108" spans="1:12" ht="38.25" customHeight="1" x14ac:dyDescent="0.25">
      <c r="A108" s="9"/>
      <c r="B108" s="5"/>
      <c r="C108" s="4"/>
      <c r="D108" s="15" t="s">
        <v>162</v>
      </c>
      <c r="E108" s="41" t="s">
        <v>139</v>
      </c>
      <c r="F108" s="41" t="s">
        <v>139</v>
      </c>
      <c r="G108" s="13" t="s">
        <v>31</v>
      </c>
      <c r="H108" s="41" t="s">
        <v>139</v>
      </c>
      <c r="I108" s="41" t="s">
        <v>139</v>
      </c>
      <c r="J108" s="13"/>
      <c r="L108" s="2"/>
    </row>
    <row r="109" spans="1:12" ht="18.75" x14ac:dyDescent="0.25">
      <c r="A109" s="9" t="s">
        <v>24</v>
      </c>
      <c r="B109" s="5"/>
      <c r="C109" s="4"/>
      <c r="D109" s="4" t="s">
        <v>77</v>
      </c>
      <c r="E109" s="41" t="s">
        <v>139</v>
      </c>
      <c r="F109" s="41" t="s">
        <v>139</v>
      </c>
      <c r="G109" s="13" t="s">
        <v>54</v>
      </c>
      <c r="H109" s="41" t="s">
        <v>139</v>
      </c>
      <c r="I109" s="41" t="s">
        <v>139</v>
      </c>
      <c r="J109" s="13"/>
      <c r="L109" s="2"/>
    </row>
    <row r="110" spans="1:12" ht="31.5" x14ac:dyDescent="0.25">
      <c r="A110" s="9" t="s">
        <v>126</v>
      </c>
      <c r="B110" s="5"/>
      <c r="C110" s="4"/>
      <c r="D110" s="15" t="s">
        <v>186</v>
      </c>
      <c r="E110" s="41"/>
      <c r="F110" s="41"/>
      <c r="G110" s="13" t="s">
        <v>54</v>
      </c>
      <c r="H110" s="41"/>
      <c r="I110" s="41"/>
      <c r="J110" s="13"/>
      <c r="L110" s="2"/>
    </row>
    <row r="111" spans="1:12" ht="18.75" x14ac:dyDescent="0.25">
      <c r="A111" s="9"/>
      <c r="B111" s="5"/>
      <c r="C111" s="4"/>
      <c r="D111" s="15" t="s">
        <v>163</v>
      </c>
      <c r="E111" s="41"/>
      <c r="F111" s="41"/>
      <c r="G111" s="13" t="s">
        <v>146</v>
      </c>
      <c r="H111" s="41" t="s">
        <v>139</v>
      </c>
      <c r="I111" s="41" t="s">
        <v>139</v>
      </c>
      <c r="J111" s="13"/>
      <c r="L111" s="2"/>
    </row>
    <row r="112" spans="1:12" ht="31.5" x14ac:dyDescent="0.25">
      <c r="A112" s="9"/>
      <c r="B112" s="5"/>
      <c r="C112" s="4"/>
      <c r="D112" s="15" t="s">
        <v>127</v>
      </c>
      <c r="E112" s="41"/>
      <c r="F112" s="41">
        <f>1</f>
        <v>1</v>
      </c>
      <c r="G112" s="13" t="s">
        <v>31</v>
      </c>
      <c r="H112" s="41">
        <f>1655.8/F112</f>
        <v>1655.8</v>
      </c>
      <c r="I112" s="41">
        <f>F112*H112</f>
        <v>1655.8</v>
      </c>
      <c r="J112" s="13" t="s">
        <v>148</v>
      </c>
      <c r="L112" s="2"/>
    </row>
    <row r="113" spans="1:12" ht="18.75" x14ac:dyDescent="0.25">
      <c r="A113" s="9"/>
      <c r="B113" s="5"/>
      <c r="C113" s="4"/>
      <c r="D113" s="15" t="s">
        <v>172</v>
      </c>
      <c r="E113" s="41"/>
      <c r="F113" s="41">
        <f>4+3</f>
        <v>7</v>
      </c>
      <c r="G113" s="13" t="s">
        <v>54</v>
      </c>
      <c r="H113" s="41">
        <f>(290+222.4)/F113</f>
        <v>73.2</v>
      </c>
      <c r="I113" s="41">
        <f>F113*H113</f>
        <v>512.4</v>
      </c>
      <c r="J113" s="13" t="s">
        <v>115</v>
      </c>
      <c r="L113" s="2"/>
    </row>
    <row r="114" spans="1:12" ht="18.75" x14ac:dyDescent="0.25">
      <c r="A114" s="9"/>
      <c r="B114" s="5"/>
      <c r="C114" s="4"/>
      <c r="D114" s="15" t="s">
        <v>106</v>
      </c>
      <c r="E114" s="32"/>
      <c r="F114" s="13">
        <f>2+2+1+3+1+2</f>
        <v>11</v>
      </c>
      <c r="G114" s="13" t="s">
        <v>54</v>
      </c>
      <c r="H114" s="33">
        <f>(334.6+334.4+168.8+512.8+173+344.8)/F114</f>
        <v>169.85454545454544</v>
      </c>
      <c r="I114" s="13">
        <f t="shared" ref="I114" si="6">F114*H114</f>
        <v>1868.3999999999999</v>
      </c>
      <c r="J114" s="13" t="s">
        <v>115</v>
      </c>
      <c r="L114" s="2"/>
    </row>
    <row r="115" spans="1:12" ht="18.75" x14ac:dyDescent="0.25">
      <c r="A115" s="9"/>
      <c r="B115" s="5"/>
      <c r="C115" s="4"/>
      <c r="D115" s="15" t="s">
        <v>140</v>
      </c>
      <c r="E115" s="41"/>
      <c r="F115" s="41"/>
      <c r="G115" s="13" t="s">
        <v>31</v>
      </c>
      <c r="H115" s="41" t="s">
        <v>139</v>
      </c>
      <c r="I115" s="41" t="s">
        <v>139</v>
      </c>
      <c r="J115" s="13"/>
      <c r="L115" s="2"/>
    </row>
    <row r="116" spans="1:12" ht="56.25" x14ac:dyDescent="0.25">
      <c r="A116" s="9" t="s">
        <v>107</v>
      </c>
      <c r="B116" s="5"/>
      <c r="C116" s="4"/>
      <c r="D116" s="15" t="s">
        <v>124</v>
      </c>
      <c r="E116" s="32"/>
      <c r="F116" s="13">
        <f>12+12+12+12+12+12+12+12+12+12+12+12</f>
        <v>144</v>
      </c>
      <c r="G116" s="13" t="s">
        <v>108</v>
      </c>
      <c r="H116" s="33">
        <f>(473.2+473.2+473.2+485.4+485.4+485.4+497.8+497.8+497.8+512+512+512)/F116</f>
        <v>41.00833333333334</v>
      </c>
      <c r="I116" s="13">
        <f>F116*H116</f>
        <v>5905.2000000000007</v>
      </c>
      <c r="J116" s="13" t="s">
        <v>115</v>
      </c>
      <c r="L116" s="2"/>
    </row>
    <row r="117" spans="1:12" ht="18.75" x14ac:dyDescent="0.25">
      <c r="A117" s="50"/>
      <c r="B117" s="22"/>
      <c r="C117" s="22"/>
      <c r="D117" s="30"/>
      <c r="E117" s="52"/>
      <c r="F117" s="53"/>
      <c r="G117" s="31"/>
      <c r="H117" s="31"/>
      <c r="I117" s="13">
        <f>SUM(I112:I116)</f>
        <v>9941.7999999999993</v>
      </c>
      <c r="J117" s="13"/>
      <c r="L117" s="2"/>
    </row>
    <row r="118" spans="1:12" ht="18.75" x14ac:dyDescent="0.25">
      <c r="A118" s="70" t="s">
        <v>90</v>
      </c>
      <c r="B118" s="71"/>
      <c r="C118" s="71"/>
      <c r="D118" s="71"/>
      <c r="E118" s="71"/>
      <c r="F118" s="71"/>
      <c r="G118" s="72"/>
      <c r="H118" s="12"/>
      <c r="I118" s="5"/>
      <c r="J118" s="13"/>
      <c r="L118" s="2"/>
    </row>
    <row r="119" spans="1:12" ht="18.75" x14ac:dyDescent="0.25">
      <c r="A119" s="26"/>
      <c r="B119" s="27"/>
      <c r="C119" s="27"/>
      <c r="D119" s="36" t="s">
        <v>116</v>
      </c>
      <c r="E119" s="41"/>
      <c r="F119" s="41"/>
      <c r="G119" s="38" t="s">
        <v>31</v>
      </c>
      <c r="H119" s="41"/>
      <c r="I119" s="41"/>
      <c r="J119" s="13"/>
      <c r="L119" s="2"/>
    </row>
    <row r="120" spans="1:12" ht="63" x14ac:dyDescent="0.25">
      <c r="A120" s="9" t="s">
        <v>88</v>
      </c>
      <c r="B120" s="22"/>
      <c r="C120" s="22"/>
      <c r="D120" s="23" t="s">
        <v>118</v>
      </c>
      <c r="E120" s="37">
        <v>400</v>
      </c>
      <c r="F120" s="13">
        <v>400</v>
      </c>
      <c r="G120" s="31" t="s">
        <v>89</v>
      </c>
      <c r="H120" s="31">
        <v>4.8</v>
      </c>
      <c r="I120" s="13">
        <f>F120*H120*12</f>
        <v>23040</v>
      </c>
      <c r="J120" s="13" t="s">
        <v>115</v>
      </c>
      <c r="L120" s="2"/>
    </row>
    <row r="121" spans="1:12" ht="18.75" x14ac:dyDescent="0.25">
      <c r="A121" s="50"/>
      <c r="B121" s="22"/>
      <c r="C121" s="22"/>
      <c r="D121" s="30"/>
      <c r="E121" s="52"/>
      <c r="F121" s="53"/>
      <c r="G121" s="31"/>
      <c r="H121" s="31"/>
      <c r="I121" s="13">
        <f>SUM(I119:I120)</f>
        <v>23040</v>
      </c>
      <c r="J121" s="13"/>
      <c r="L121" s="2"/>
    </row>
    <row r="122" spans="1:12" ht="18.75" x14ac:dyDescent="0.3">
      <c r="A122" s="63" t="s">
        <v>79</v>
      </c>
      <c r="B122" s="64"/>
      <c r="C122" s="64"/>
      <c r="D122" s="64"/>
      <c r="E122" s="64"/>
      <c r="F122" s="64"/>
      <c r="G122" s="65"/>
      <c r="H122" s="19"/>
      <c r="I122" s="5"/>
      <c r="J122" s="13"/>
      <c r="L122" s="2"/>
    </row>
    <row r="123" spans="1:12" ht="46.5" customHeight="1" x14ac:dyDescent="0.3">
      <c r="A123" s="34" t="s">
        <v>131</v>
      </c>
      <c r="B123" s="24"/>
      <c r="C123" s="24"/>
      <c r="D123" s="47" t="s">
        <v>183</v>
      </c>
      <c r="E123" s="31">
        <v>48</v>
      </c>
      <c r="F123" s="31">
        <v>48</v>
      </c>
      <c r="G123" s="13" t="s">
        <v>138</v>
      </c>
      <c r="H123" s="31">
        <v>76.900000000000006</v>
      </c>
      <c r="I123" s="31">
        <f>F123*H123*4</f>
        <v>14764.800000000001</v>
      </c>
      <c r="J123" s="13" t="s">
        <v>115</v>
      </c>
      <c r="L123" s="2"/>
    </row>
    <row r="124" spans="1:12" ht="46.5" customHeight="1" x14ac:dyDescent="0.3">
      <c r="A124" s="34"/>
      <c r="B124" s="24"/>
      <c r="C124" s="45"/>
      <c r="D124" s="35" t="s">
        <v>130</v>
      </c>
      <c r="E124" s="31">
        <v>48</v>
      </c>
      <c r="F124" s="31">
        <v>48</v>
      </c>
      <c r="G124" s="13" t="s">
        <v>138</v>
      </c>
      <c r="H124" s="31">
        <v>26</v>
      </c>
      <c r="I124" s="31">
        <f>F124*H124*4</f>
        <v>4992</v>
      </c>
      <c r="J124" s="13" t="s">
        <v>115</v>
      </c>
      <c r="L124" s="2"/>
    </row>
    <row r="125" spans="1:12" ht="46.5" customHeight="1" x14ac:dyDescent="0.3">
      <c r="A125" s="34"/>
      <c r="B125" s="24"/>
      <c r="C125" s="45"/>
      <c r="D125" s="47" t="s">
        <v>191</v>
      </c>
      <c r="E125" s="41" t="s">
        <v>139</v>
      </c>
      <c r="F125" s="41" t="s">
        <v>139</v>
      </c>
      <c r="G125" s="13" t="s">
        <v>146</v>
      </c>
      <c r="H125" s="41" t="s">
        <v>139</v>
      </c>
      <c r="I125" s="41" t="s">
        <v>139</v>
      </c>
      <c r="J125" s="13"/>
      <c r="L125" s="2"/>
    </row>
    <row r="126" spans="1:12" ht="18.75" x14ac:dyDescent="0.25">
      <c r="A126" s="9" t="s">
        <v>25</v>
      </c>
      <c r="B126" s="5"/>
      <c r="C126" s="4"/>
      <c r="D126" s="4" t="s">
        <v>75</v>
      </c>
      <c r="E126" s="41" t="s">
        <v>139</v>
      </c>
      <c r="F126" s="41" t="s">
        <v>139</v>
      </c>
      <c r="G126" s="14" t="s">
        <v>54</v>
      </c>
      <c r="H126" s="41" t="s">
        <v>139</v>
      </c>
      <c r="I126" s="41" t="s">
        <v>139</v>
      </c>
      <c r="J126" s="13"/>
      <c r="L126" s="2"/>
    </row>
    <row r="127" spans="1:12" ht="47.25" x14ac:dyDescent="0.25">
      <c r="A127" s="9" t="s">
        <v>26</v>
      </c>
      <c r="B127" s="5"/>
      <c r="C127" s="4"/>
      <c r="D127" s="15" t="s">
        <v>28</v>
      </c>
      <c r="E127" s="41" t="s">
        <v>139</v>
      </c>
      <c r="F127" s="41" t="s">
        <v>139</v>
      </c>
      <c r="G127" s="14" t="s">
        <v>54</v>
      </c>
      <c r="H127" s="41" t="s">
        <v>139</v>
      </c>
      <c r="I127" s="41" t="s">
        <v>139</v>
      </c>
      <c r="J127" s="13"/>
      <c r="L127" s="2"/>
    </row>
    <row r="128" spans="1:12" ht="31.5" x14ac:dyDescent="0.25">
      <c r="A128" s="9" t="s">
        <v>27</v>
      </c>
      <c r="B128" s="5"/>
      <c r="C128" s="4"/>
      <c r="D128" s="15" t="s">
        <v>74</v>
      </c>
      <c r="E128" s="41" t="s">
        <v>139</v>
      </c>
      <c r="F128" s="41" t="s">
        <v>139</v>
      </c>
      <c r="G128" s="14" t="s">
        <v>54</v>
      </c>
      <c r="H128" s="41" t="s">
        <v>139</v>
      </c>
      <c r="I128" s="41" t="s">
        <v>139</v>
      </c>
      <c r="J128" s="13"/>
      <c r="L128" s="2"/>
    </row>
    <row r="129" spans="1:12" ht="18.75" x14ac:dyDescent="0.25">
      <c r="A129" s="50"/>
      <c r="B129" s="22"/>
      <c r="C129" s="22"/>
      <c r="D129" s="30"/>
      <c r="E129" s="49"/>
      <c r="F129" s="49"/>
      <c r="G129" s="12"/>
      <c r="H129" s="54"/>
      <c r="I129" s="54">
        <f>SUM(I123:I128)</f>
        <v>19756.800000000003</v>
      </c>
      <c r="J129" s="55"/>
      <c r="L129" s="2"/>
    </row>
    <row r="130" spans="1:12" ht="18.75" x14ac:dyDescent="0.3">
      <c r="A130" s="63" t="s">
        <v>84</v>
      </c>
      <c r="B130" s="64"/>
      <c r="C130" s="64"/>
      <c r="D130" s="64"/>
      <c r="E130" s="64"/>
      <c r="F130" s="64"/>
      <c r="G130" s="65"/>
      <c r="H130" s="2"/>
      <c r="I130" s="2"/>
      <c r="J130" s="2"/>
      <c r="K130" s="2"/>
      <c r="L130" s="2"/>
    </row>
    <row r="131" spans="1:12" ht="18.75" x14ac:dyDescent="0.3">
      <c r="A131" s="6" t="s">
        <v>66</v>
      </c>
      <c r="B131" s="6"/>
      <c r="C131" s="4"/>
      <c r="D131" s="15" t="s">
        <v>210</v>
      </c>
      <c r="E131" s="41"/>
      <c r="F131" s="41">
        <f>1</f>
        <v>1</v>
      </c>
      <c r="G131" s="13" t="s">
        <v>31</v>
      </c>
      <c r="H131" s="41">
        <f>1150/F131</f>
        <v>1150</v>
      </c>
      <c r="I131" s="75">
        <f>F131*H131</f>
        <v>1150</v>
      </c>
      <c r="J131" s="13" t="s">
        <v>120</v>
      </c>
      <c r="L131" s="2"/>
    </row>
    <row r="132" spans="1:12" ht="32.25" x14ac:dyDescent="0.3">
      <c r="A132" s="28"/>
      <c r="B132" s="29"/>
      <c r="C132" s="22"/>
      <c r="D132" s="30" t="s">
        <v>109</v>
      </c>
      <c r="E132" s="41">
        <v>1</v>
      </c>
      <c r="F132" s="41">
        <v>1</v>
      </c>
      <c r="G132" s="13" t="s">
        <v>110</v>
      </c>
      <c r="H132" s="41">
        <v>10275</v>
      </c>
      <c r="I132" s="44">
        <f>F132*H132</f>
        <v>10275</v>
      </c>
      <c r="J132" s="39" t="s">
        <v>117</v>
      </c>
      <c r="L132" s="2"/>
    </row>
    <row r="133" spans="1:12" ht="18.75" x14ac:dyDescent="0.3">
      <c r="A133" s="28"/>
      <c r="B133" s="29"/>
      <c r="C133" s="22"/>
      <c r="D133" s="30"/>
      <c r="E133" s="49"/>
      <c r="F133" s="49"/>
      <c r="G133" s="31"/>
      <c r="H133" s="49"/>
      <c r="I133" s="57">
        <f>SUM(I131:I132)</f>
        <v>11425</v>
      </c>
      <c r="J133" s="56"/>
      <c r="L133" s="2"/>
    </row>
    <row r="134" spans="1:12" ht="18.75" x14ac:dyDescent="0.3">
      <c r="A134" s="63" t="s">
        <v>98</v>
      </c>
      <c r="B134" s="64"/>
      <c r="C134" s="64"/>
      <c r="D134" s="64"/>
      <c r="E134" s="64"/>
      <c r="F134" s="64"/>
      <c r="G134" s="65"/>
      <c r="H134" s="63"/>
      <c r="I134" s="64"/>
      <c r="J134" s="64"/>
      <c r="L134" s="2"/>
    </row>
    <row r="135" spans="1:12" ht="32.25" x14ac:dyDescent="0.3">
      <c r="A135" s="34" t="s">
        <v>147</v>
      </c>
      <c r="B135" s="24"/>
      <c r="C135" s="24"/>
      <c r="D135" s="40" t="s">
        <v>133</v>
      </c>
      <c r="E135" s="13"/>
      <c r="F135" s="13">
        <f>2+2</f>
        <v>4</v>
      </c>
      <c r="G135" s="13" t="s">
        <v>134</v>
      </c>
      <c r="H135" s="13">
        <v>800</v>
      </c>
      <c r="I135" s="76">
        <f t="shared" ref="I135:I138" si="7">F135*H135</f>
        <v>3200</v>
      </c>
      <c r="J135" s="13" t="s">
        <v>123</v>
      </c>
      <c r="L135" s="2"/>
    </row>
    <row r="136" spans="1:12" ht="48" x14ac:dyDescent="0.3">
      <c r="A136" s="24"/>
      <c r="B136" s="24"/>
      <c r="C136" s="24"/>
      <c r="D136" s="40" t="s">
        <v>135</v>
      </c>
      <c r="E136" s="41"/>
      <c r="F136" s="41">
        <f>30+20</f>
        <v>50</v>
      </c>
      <c r="G136" s="13" t="s">
        <v>136</v>
      </c>
      <c r="H136" s="41">
        <v>650</v>
      </c>
      <c r="I136" s="75">
        <f>F136*H136</f>
        <v>32500</v>
      </c>
      <c r="J136" s="13" t="s">
        <v>123</v>
      </c>
      <c r="L136" s="2"/>
    </row>
    <row r="137" spans="1:12" ht="32.25" x14ac:dyDescent="0.3">
      <c r="A137" s="24"/>
      <c r="B137" s="24"/>
      <c r="C137" s="24"/>
      <c r="D137" s="40" t="s">
        <v>199</v>
      </c>
      <c r="E137" s="13"/>
      <c r="F137" s="13">
        <f>10+40+90+70</f>
        <v>210</v>
      </c>
      <c r="G137" s="13" t="s">
        <v>137</v>
      </c>
      <c r="H137" s="33">
        <f>(500+2000+4500+3209)/F137</f>
        <v>48.614285714285714</v>
      </c>
      <c r="I137" s="76">
        <f t="shared" si="7"/>
        <v>10209</v>
      </c>
      <c r="J137" s="13" t="s">
        <v>123</v>
      </c>
      <c r="L137" s="2"/>
    </row>
    <row r="138" spans="1:12" ht="32.25" x14ac:dyDescent="0.3">
      <c r="A138" s="24"/>
      <c r="B138" s="24"/>
      <c r="C138" s="24"/>
      <c r="D138" s="40" t="s">
        <v>200</v>
      </c>
      <c r="E138" s="13"/>
      <c r="F138" s="13">
        <f>190+30+55</f>
        <v>275</v>
      </c>
      <c r="G138" s="13" t="s">
        <v>137</v>
      </c>
      <c r="H138" s="33">
        <f>(7917+1250+2292)/F138</f>
        <v>41.669090909090912</v>
      </c>
      <c r="I138" s="76">
        <f t="shared" si="7"/>
        <v>11459</v>
      </c>
      <c r="J138" s="13" t="s">
        <v>123</v>
      </c>
      <c r="L138" s="2"/>
    </row>
    <row r="139" spans="1:12" ht="32.25" x14ac:dyDescent="0.3">
      <c r="A139" s="24"/>
      <c r="B139" s="24"/>
      <c r="C139" s="24"/>
      <c r="D139" s="40" t="s">
        <v>195</v>
      </c>
      <c r="E139" s="13"/>
      <c r="F139" s="13"/>
      <c r="G139" s="13" t="s">
        <v>143</v>
      </c>
      <c r="H139" s="13"/>
      <c r="I139" s="13"/>
      <c r="J139" s="13"/>
      <c r="L139" s="2"/>
    </row>
    <row r="140" spans="1:12" ht="32.25" x14ac:dyDescent="0.3">
      <c r="A140" s="24"/>
      <c r="B140" s="24"/>
      <c r="C140" s="24"/>
      <c r="D140" s="40" t="s">
        <v>204</v>
      </c>
      <c r="E140" s="13"/>
      <c r="F140" s="13">
        <v>1</v>
      </c>
      <c r="G140" s="13" t="s">
        <v>31</v>
      </c>
      <c r="H140" s="13">
        <f>3632.4/F140</f>
        <v>3632.4</v>
      </c>
      <c r="I140" s="77">
        <f>F140*H140</f>
        <v>3632.4</v>
      </c>
      <c r="J140" s="13" t="s">
        <v>122</v>
      </c>
      <c r="L140" s="2"/>
    </row>
    <row r="141" spans="1:12" ht="18.75" x14ac:dyDescent="0.3">
      <c r="A141" s="34" t="s">
        <v>157</v>
      </c>
      <c r="B141" s="14"/>
      <c r="C141" s="14"/>
      <c r="D141" s="40" t="s">
        <v>206</v>
      </c>
      <c r="E141" s="13"/>
      <c r="F141" s="13">
        <v>1</v>
      </c>
      <c r="G141" s="13" t="s">
        <v>31</v>
      </c>
      <c r="H141" s="13">
        <f>6200/F141</f>
        <v>6200</v>
      </c>
      <c r="I141" s="77">
        <f>F141*H141</f>
        <v>6200</v>
      </c>
      <c r="J141" s="14" t="s">
        <v>207</v>
      </c>
      <c r="L141" s="2"/>
    </row>
    <row r="142" spans="1:12" ht="18.75" x14ac:dyDescent="0.3">
      <c r="A142" s="34"/>
      <c r="B142" s="14"/>
      <c r="C142" s="14"/>
      <c r="D142" s="40"/>
      <c r="E142" s="13"/>
      <c r="F142" s="13"/>
      <c r="G142" s="13"/>
      <c r="H142" s="13"/>
      <c r="I142" s="76">
        <f>SUM(I135:I141)</f>
        <v>67200.399999999994</v>
      </c>
      <c r="J142" s="14"/>
      <c r="L142" s="2"/>
    </row>
    <row r="143" spans="1:12" ht="15.75" x14ac:dyDescent="0.25">
      <c r="A143" s="79" t="s">
        <v>211</v>
      </c>
      <c r="B143" s="14"/>
      <c r="C143" s="14"/>
      <c r="D143" s="43"/>
      <c r="E143" s="14"/>
      <c r="F143" s="14"/>
      <c r="G143" s="38"/>
      <c r="H143" s="14"/>
      <c r="I143" s="78">
        <f>I6+I21+I40+I41+I63+I64+I65+I66+I67+I68+I69+I72+I131+I135+I136+I137+I138+I140+I141</f>
        <v>104455.59999999999</v>
      </c>
      <c r="J143" s="14"/>
      <c r="L143" s="2"/>
    </row>
    <row r="144" spans="1:12" ht="15.75" x14ac:dyDescent="0.25">
      <c r="A144" s="58" t="s">
        <v>197</v>
      </c>
      <c r="B144" s="25"/>
      <c r="C144" s="25"/>
      <c r="D144" s="43"/>
      <c r="E144" s="13"/>
      <c r="F144" s="13"/>
      <c r="G144" s="38"/>
      <c r="H144" s="13"/>
      <c r="I144" s="59">
        <f>I142+I133+I129+I121+I117+I105+I94+I79+I51+I36+I17</f>
        <v>328873.00000000006</v>
      </c>
      <c r="J144" s="14"/>
      <c r="K144" s="2"/>
      <c r="L144" s="2"/>
    </row>
    <row r="145" spans="1:12" ht="99.75" customHeight="1" x14ac:dyDescent="0.25">
      <c r="A145" s="60" t="s">
        <v>105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2"/>
      <c r="L145" s="2"/>
    </row>
    <row r="146" spans="1:12" ht="15.75" x14ac:dyDescent="0.25">
      <c r="A146" s="2"/>
      <c r="B146" s="2"/>
      <c r="C146" s="2"/>
      <c r="D146" s="16"/>
      <c r="E146" s="16"/>
      <c r="F146" s="2"/>
      <c r="G146" s="2"/>
      <c r="H146" s="2"/>
      <c r="I146" s="2"/>
      <c r="J146" s="2"/>
      <c r="K146" s="2"/>
      <c r="L146" s="2"/>
    </row>
    <row r="147" spans="1:12" ht="15.75" x14ac:dyDescent="0.25">
      <c r="A147" s="2"/>
      <c r="B147" s="2"/>
      <c r="C147" s="2"/>
      <c r="D147" s="16"/>
      <c r="E147" s="16"/>
      <c r="F147" s="2"/>
      <c r="G147" s="2"/>
      <c r="H147" s="2"/>
      <c r="I147" s="2"/>
      <c r="J147" s="2"/>
      <c r="K147" s="2"/>
      <c r="L147" s="2"/>
    </row>
    <row r="148" spans="1:12" ht="15.75" x14ac:dyDescent="0.25">
      <c r="A148" s="2"/>
      <c r="B148" s="2"/>
      <c r="C148" s="2"/>
      <c r="D148" s="16"/>
      <c r="E148" s="16"/>
      <c r="F148" s="2"/>
      <c r="G148" s="2"/>
      <c r="H148" s="2"/>
      <c r="I148" s="2"/>
      <c r="J148" s="2"/>
      <c r="K148" s="2"/>
      <c r="L148" s="2"/>
    </row>
    <row r="149" spans="1:12" ht="15.75" x14ac:dyDescent="0.25">
      <c r="A149" s="2"/>
      <c r="B149" s="2"/>
      <c r="C149" s="2"/>
      <c r="D149" s="16"/>
      <c r="E149" s="16"/>
      <c r="F149" s="2"/>
      <c r="G149" s="2"/>
      <c r="H149" s="2"/>
      <c r="I149" s="2"/>
      <c r="J149" s="2"/>
      <c r="K149" s="2"/>
      <c r="L149" s="2"/>
    </row>
    <row r="150" spans="1:12" ht="15.75" x14ac:dyDescent="0.25">
      <c r="A150" s="2"/>
      <c r="B150" s="2"/>
      <c r="C150" s="2"/>
      <c r="D150" s="16"/>
      <c r="E150" s="16"/>
      <c r="F150" s="2"/>
      <c r="G150" s="2"/>
      <c r="H150" s="2"/>
      <c r="I150" s="2"/>
      <c r="J150" s="2"/>
      <c r="K150" s="2"/>
      <c r="L150" s="2"/>
    </row>
    <row r="151" spans="1:12" ht="15.75" x14ac:dyDescent="0.25">
      <c r="A151" s="2"/>
      <c r="B151" s="2"/>
      <c r="C151" s="2"/>
      <c r="D151" s="16"/>
      <c r="E151" s="16"/>
      <c r="F151" s="2"/>
      <c r="G151" s="2"/>
      <c r="H151" s="2"/>
      <c r="I151" s="2"/>
      <c r="J151" s="2"/>
      <c r="K151" s="2"/>
      <c r="L151" s="2"/>
    </row>
    <row r="152" spans="1:12" ht="15.75" x14ac:dyDescent="0.25">
      <c r="A152" s="2"/>
      <c r="B152" s="2"/>
      <c r="C152" s="2"/>
      <c r="D152" s="16"/>
      <c r="E152" s="16"/>
      <c r="F152" s="2"/>
      <c r="G152" s="2"/>
      <c r="H152" s="2"/>
      <c r="I152" s="2"/>
      <c r="J152" s="2"/>
      <c r="K152" s="2"/>
      <c r="L152" s="2"/>
    </row>
    <row r="153" spans="1:12" ht="15.75" x14ac:dyDescent="0.25">
      <c r="A153" s="2"/>
      <c r="B153" s="2"/>
      <c r="C153" s="2"/>
      <c r="D153" s="16"/>
      <c r="E153" s="16"/>
      <c r="F153" s="2"/>
      <c r="G153" s="2"/>
      <c r="H153" s="2"/>
      <c r="I153" s="2"/>
      <c r="J153" s="2"/>
      <c r="K153" s="2"/>
      <c r="L153" s="2"/>
    </row>
    <row r="154" spans="1:12" ht="15.75" x14ac:dyDescent="0.25">
      <c r="A154" s="2"/>
      <c r="B154" s="2"/>
      <c r="C154" s="2"/>
      <c r="D154" s="16"/>
      <c r="E154" s="16"/>
      <c r="F154" s="2"/>
      <c r="G154" s="2"/>
      <c r="H154" s="2"/>
      <c r="I154" s="2"/>
      <c r="J154" s="2"/>
      <c r="K154" s="2"/>
      <c r="L154" s="2"/>
    </row>
    <row r="155" spans="1:12" ht="15.75" x14ac:dyDescent="0.25">
      <c r="A155" s="2"/>
      <c r="B155" s="2"/>
      <c r="C155" s="2"/>
      <c r="D155" s="16"/>
      <c r="E155" s="16"/>
      <c r="F155" s="2"/>
      <c r="G155" s="2"/>
      <c r="H155" s="2"/>
      <c r="I155" s="2"/>
      <c r="J155" s="2"/>
      <c r="K155" s="2"/>
      <c r="L155" s="2"/>
    </row>
    <row r="156" spans="1:12" ht="15.75" x14ac:dyDescent="0.25">
      <c r="A156" s="2"/>
      <c r="B156" s="2"/>
      <c r="C156" s="2"/>
      <c r="D156" s="16"/>
      <c r="E156" s="16"/>
      <c r="F156" s="2"/>
      <c r="G156" s="2"/>
      <c r="H156" s="2"/>
      <c r="I156" s="2"/>
      <c r="J156" s="2"/>
      <c r="K156" s="2"/>
      <c r="L156" s="2"/>
    </row>
    <row r="157" spans="1:12" ht="15.75" x14ac:dyDescent="0.25">
      <c r="A157" s="2"/>
      <c r="B157" s="2"/>
      <c r="C157" s="2"/>
      <c r="D157" s="16"/>
      <c r="E157" s="16"/>
      <c r="F157" s="2"/>
      <c r="G157" s="2"/>
      <c r="H157" s="2"/>
      <c r="I157" s="2"/>
      <c r="J157" s="2"/>
      <c r="K157" s="2"/>
      <c r="L157" s="2"/>
    </row>
    <row r="158" spans="1:12" ht="15.75" x14ac:dyDescent="0.25">
      <c r="A158" s="2"/>
      <c r="B158" s="2"/>
      <c r="C158" s="2"/>
      <c r="D158" s="16"/>
      <c r="E158" s="16"/>
      <c r="F158" s="2"/>
      <c r="G158" s="2"/>
      <c r="H158" s="2"/>
      <c r="I158" s="2"/>
      <c r="J158" s="2"/>
      <c r="K158" s="2"/>
      <c r="L158" s="2"/>
    </row>
    <row r="159" spans="1:12" ht="15.75" x14ac:dyDescent="0.25">
      <c r="A159" s="2"/>
      <c r="B159" s="2"/>
      <c r="C159" s="2"/>
      <c r="D159" s="16"/>
      <c r="E159" s="16"/>
      <c r="F159" s="2"/>
      <c r="G159" s="2"/>
      <c r="H159" s="2"/>
      <c r="I159" s="2"/>
      <c r="J159" s="2"/>
      <c r="K159" s="2"/>
      <c r="L159" s="2"/>
    </row>
    <row r="160" spans="1:12" ht="15.75" x14ac:dyDescent="0.25">
      <c r="A160" s="2"/>
      <c r="B160" s="2"/>
      <c r="C160" s="2"/>
      <c r="D160" s="16"/>
      <c r="E160" s="16"/>
      <c r="F160" s="2"/>
      <c r="G160" s="2"/>
      <c r="H160" s="2"/>
      <c r="I160" s="2"/>
      <c r="J160" s="2"/>
      <c r="K160" s="2"/>
      <c r="L160" s="2"/>
    </row>
    <row r="161" spans="1:12" ht="15.75" x14ac:dyDescent="0.25">
      <c r="A161" s="2"/>
      <c r="B161" s="2"/>
      <c r="C161" s="2"/>
      <c r="D161" s="16"/>
      <c r="E161" s="16"/>
      <c r="F161" s="2"/>
      <c r="G161" s="2"/>
      <c r="H161" s="2"/>
      <c r="I161" s="2"/>
      <c r="J161" s="2"/>
      <c r="K161" s="2"/>
      <c r="L161" s="2"/>
    </row>
    <row r="162" spans="1:12" ht="15.75" x14ac:dyDescent="0.25">
      <c r="A162" s="2"/>
      <c r="B162" s="2"/>
      <c r="C162" s="2"/>
      <c r="D162" s="16"/>
      <c r="E162" s="16"/>
      <c r="F162" s="2"/>
      <c r="G162" s="2"/>
      <c r="H162" s="2"/>
      <c r="I162" s="2"/>
      <c r="J162" s="2"/>
      <c r="K162" s="2"/>
      <c r="L162" s="2"/>
    </row>
    <row r="163" spans="1:12" ht="15.75" x14ac:dyDescent="0.25">
      <c r="A163" s="2"/>
      <c r="B163" s="2"/>
      <c r="C163" s="2"/>
      <c r="D163" s="16"/>
      <c r="E163" s="16"/>
      <c r="F163" s="2"/>
      <c r="G163" s="2"/>
      <c r="H163" s="2"/>
      <c r="I163" s="2"/>
      <c r="J163" s="2"/>
      <c r="K163" s="2"/>
      <c r="L163" s="2"/>
    </row>
    <row r="164" spans="1:12" ht="15.75" x14ac:dyDescent="0.25">
      <c r="A164" s="2"/>
      <c r="B164" s="2"/>
      <c r="C164" s="2"/>
      <c r="D164" s="16"/>
      <c r="E164" s="16"/>
      <c r="F164" s="2"/>
      <c r="G164" s="2"/>
      <c r="H164" s="2"/>
      <c r="I164" s="2"/>
      <c r="J164" s="2"/>
      <c r="K164" s="2"/>
      <c r="L164" s="2"/>
    </row>
    <row r="165" spans="1:12" ht="15.75" x14ac:dyDescent="0.25">
      <c r="A165" s="2"/>
      <c r="B165" s="2"/>
      <c r="C165" s="2"/>
      <c r="D165" s="16"/>
      <c r="E165" s="16"/>
      <c r="F165" s="2"/>
      <c r="G165" s="2"/>
      <c r="H165" s="2"/>
      <c r="I165" s="2"/>
      <c r="J165" s="2"/>
      <c r="K165" s="2"/>
      <c r="L165" s="2"/>
    </row>
    <row r="166" spans="1:12" ht="15.75" x14ac:dyDescent="0.25">
      <c r="A166" s="2"/>
      <c r="B166" s="2"/>
      <c r="C166" s="2"/>
      <c r="D166" s="16"/>
      <c r="E166" s="16"/>
      <c r="F166" s="2"/>
      <c r="G166" s="2"/>
      <c r="H166" s="2"/>
      <c r="I166" s="2"/>
      <c r="J166" s="2"/>
      <c r="K166" s="2"/>
      <c r="L166" s="2"/>
    </row>
    <row r="167" spans="1:12" ht="15.75" x14ac:dyDescent="0.25">
      <c r="A167" s="2"/>
      <c r="B167" s="2"/>
      <c r="C167" s="2"/>
      <c r="D167" s="16"/>
      <c r="E167" s="16"/>
      <c r="F167" s="2"/>
      <c r="G167" s="2"/>
      <c r="H167" s="2"/>
      <c r="I167" s="2"/>
      <c r="J167" s="2"/>
      <c r="K167" s="2"/>
      <c r="L167" s="2"/>
    </row>
    <row r="168" spans="1:12" ht="15.75" x14ac:dyDescent="0.25">
      <c r="A168" s="2"/>
      <c r="B168" s="2"/>
      <c r="C168" s="2"/>
      <c r="D168" s="16"/>
      <c r="E168" s="16"/>
      <c r="F168" s="2"/>
      <c r="G168" s="2"/>
      <c r="H168" s="2"/>
      <c r="I168" s="2"/>
      <c r="J168" s="2"/>
      <c r="K168" s="2"/>
      <c r="L168" s="2"/>
    </row>
    <row r="169" spans="1:12" ht="15.75" x14ac:dyDescent="0.25">
      <c r="A169" s="2"/>
      <c r="B169" s="2"/>
      <c r="C169" s="2"/>
      <c r="D169" s="16"/>
      <c r="E169" s="16"/>
      <c r="F169" s="2"/>
      <c r="G169" s="2"/>
      <c r="H169" s="2"/>
      <c r="I169" s="2"/>
      <c r="J169" s="2"/>
      <c r="K169" s="2"/>
      <c r="L169" s="2"/>
    </row>
    <row r="170" spans="1:12" ht="15.75" x14ac:dyDescent="0.25">
      <c r="A170" s="2"/>
      <c r="B170" s="2"/>
      <c r="C170" s="2"/>
      <c r="D170" s="16"/>
      <c r="E170" s="16"/>
      <c r="F170" s="2"/>
      <c r="G170" s="2"/>
      <c r="H170" s="2"/>
      <c r="I170" s="2"/>
      <c r="J170" s="2"/>
      <c r="K170" s="2"/>
      <c r="L170" s="2"/>
    </row>
    <row r="171" spans="1:12" ht="15.75" x14ac:dyDescent="0.25">
      <c r="A171" s="2"/>
      <c r="B171" s="2"/>
      <c r="C171" s="2"/>
      <c r="D171" s="16"/>
      <c r="E171" s="16"/>
      <c r="F171" s="2"/>
      <c r="G171" s="2"/>
      <c r="H171" s="2"/>
      <c r="I171" s="2"/>
      <c r="J171" s="2"/>
      <c r="K171" s="2"/>
      <c r="L171" s="2"/>
    </row>
  </sheetData>
  <mergeCells count="16">
    <mergeCell ref="A145:J145"/>
    <mergeCell ref="A2:J2"/>
    <mergeCell ref="A134:G134"/>
    <mergeCell ref="H134:J134"/>
    <mergeCell ref="I1:J1"/>
    <mergeCell ref="A86:G86"/>
    <mergeCell ref="A106:G106"/>
    <mergeCell ref="A130:G130"/>
    <mergeCell ref="A37:G37"/>
    <mergeCell ref="A18:G18"/>
    <mergeCell ref="A4:G4"/>
    <mergeCell ref="A118:G118"/>
    <mergeCell ref="A52:G52"/>
    <mergeCell ref="A80:G80"/>
    <mergeCell ref="A95:G95"/>
    <mergeCell ref="A122:G122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2024-03-08T10:57:28Z</dcterms:modified>
</cp:coreProperties>
</file>