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211" i="1" l="1"/>
  <c r="I209" i="1"/>
  <c r="F97" i="1"/>
  <c r="H97" i="1" s="1"/>
  <c r="F132" i="1"/>
  <c r="H132" i="1" s="1"/>
  <c r="F189" i="1"/>
  <c r="H189" i="1" s="1"/>
  <c r="F61" i="1"/>
  <c r="H61" i="1" s="1"/>
  <c r="F60" i="1"/>
  <c r="H60" i="1" s="1"/>
  <c r="F59" i="1"/>
  <c r="H59" i="1" s="1"/>
  <c r="H58" i="1"/>
  <c r="F58" i="1"/>
  <c r="I57" i="1"/>
  <c r="H57" i="1"/>
  <c r="F56" i="1"/>
  <c r="H56" i="1" s="1"/>
  <c r="F55" i="1"/>
  <c r="H55" i="1" s="1"/>
  <c r="F53" i="1"/>
  <c r="H53" i="1" s="1"/>
  <c r="I53" i="1" s="1"/>
  <c r="F41" i="1"/>
  <c r="H41" i="1" s="1"/>
  <c r="F43" i="1"/>
  <c r="H43" i="1" s="1"/>
  <c r="F45" i="1"/>
  <c r="H45" i="1" s="1"/>
  <c r="F208" i="1"/>
  <c r="H208" i="1" s="1"/>
  <c r="F205" i="1"/>
  <c r="H205" i="1" s="1"/>
  <c r="F149" i="1"/>
  <c r="H149" i="1" s="1"/>
  <c r="F160" i="1"/>
  <c r="H160" i="1" s="1"/>
  <c r="F166" i="1"/>
  <c r="H166" i="1" s="1"/>
  <c r="F142" i="1"/>
  <c r="H142" i="1" s="1"/>
  <c r="F124" i="1"/>
  <c r="H124" i="1" s="1"/>
  <c r="F110" i="1"/>
  <c r="H110" i="1" s="1"/>
  <c r="F89" i="1"/>
  <c r="H89" i="1" s="1"/>
  <c r="F88" i="1"/>
  <c r="H88" i="1" s="1"/>
  <c r="F171" i="1"/>
  <c r="H171" i="1" s="1"/>
  <c r="F169" i="1"/>
  <c r="H169" i="1" s="1"/>
  <c r="F168" i="1"/>
  <c r="H168" i="1" s="1"/>
  <c r="F148" i="1"/>
  <c r="H148" i="1" s="1"/>
  <c r="F150" i="1"/>
  <c r="H150" i="1" s="1"/>
  <c r="F152" i="1"/>
  <c r="H152" i="1" s="1"/>
  <c r="F64" i="1"/>
  <c r="H64" i="1" s="1"/>
  <c r="F54" i="1"/>
  <c r="H54" i="1" s="1"/>
  <c r="F52" i="1"/>
  <c r="H52" i="1" s="1"/>
  <c r="H144" i="1"/>
  <c r="I144" i="1" s="1"/>
  <c r="F143" i="1"/>
  <c r="H143" i="1" s="1"/>
  <c r="F127" i="1"/>
  <c r="H127" i="1" s="1"/>
  <c r="H126" i="1"/>
  <c r="F126" i="1"/>
  <c r="I126" i="1" s="1"/>
  <c r="F125" i="1"/>
  <c r="F73" i="1"/>
  <c r="H73" i="1" s="1"/>
  <c r="H44" i="1"/>
  <c r="I44" i="1" s="1"/>
  <c r="F174" i="1"/>
  <c r="H174" i="1" s="1"/>
  <c r="F167" i="1"/>
  <c r="H167" i="1" s="1"/>
  <c r="I142" i="1" l="1"/>
  <c r="H125" i="1"/>
  <c r="I125" i="1" s="1"/>
  <c r="I52" i="1"/>
  <c r="I160" i="1"/>
  <c r="I58" i="1"/>
  <c r="I127" i="1"/>
  <c r="I54" i="1"/>
  <c r="I55" i="1"/>
  <c r="I60" i="1"/>
  <c r="I97" i="1"/>
  <c r="I132" i="1"/>
  <c r="I143" i="1"/>
  <c r="I64" i="1"/>
  <c r="I208" i="1"/>
  <c r="I56" i="1"/>
  <c r="I59" i="1"/>
  <c r="I61" i="1"/>
  <c r="I88" i="1"/>
  <c r="I167" i="1"/>
  <c r="H29" i="1"/>
  <c r="I29" i="1" s="1"/>
  <c r="F28" i="1"/>
  <c r="F51" i="1"/>
  <c r="H51" i="1" s="1"/>
  <c r="F192" i="1"/>
  <c r="H192" i="1" s="1"/>
  <c r="F111" i="1"/>
  <c r="H111" i="1" s="1"/>
  <c r="F107" i="1"/>
  <c r="H107" i="1" s="1"/>
  <c r="H106" i="1"/>
  <c r="F103" i="1"/>
  <c r="H103" i="1" s="1"/>
  <c r="F78" i="1"/>
  <c r="H78" i="1" s="1"/>
  <c r="H42" i="1"/>
  <c r="H6" i="1"/>
  <c r="F6" i="1"/>
  <c r="H50" i="1"/>
  <c r="F50" i="1"/>
  <c r="H197" i="1"/>
  <c r="F197" i="1"/>
  <c r="I122" i="1"/>
  <c r="H122" i="1"/>
  <c r="H114" i="1"/>
  <c r="F114" i="1"/>
  <c r="I6" i="1" l="1"/>
  <c r="I17" i="1" s="1"/>
  <c r="I192" i="1"/>
  <c r="I51" i="1"/>
  <c r="H28" i="1"/>
  <c r="I28" i="1" s="1"/>
  <c r="I45" i="1"/>
  <c r="I114" i="1"/>
  <c r="H23" i="1"/>
  <c r="I23" i="1" s="1"/>
  <c r="H207" i="1"/>
  <c r="I207" i="1" s="1"/>
  <c r="H206" i="1"/>
  <c r="I206" i="1" s="1"/>
  <c r="F195" i="1"/>
  <c r="H195" i="1" s="1"/>
  <c r="F198" i="1"/>
  <c r="H198" i="1" s="1"/>
  <c r="H201" i="1"/>
  <c r="I201" i="1" s="1"/>
  <c r="F200" i="1"/>
  <c r="H200" i="1" s="1"/>
  <c r="F102" i="1"/>
  <c r="H102" i="1" s="1"/>
  <c r="F101" i="1"/>
  <c r="H101" i="1" s="1"/>
  <c r="F100" i="1"/>
  <c r="H100" i="1" s="1"/>
  <c r="F99" i="1"/>
  <c r="H99" i="1" s="1"/>
  <c r="F98" i="1"/>
  <c r="H98" i="1" s="1"/>
  <c r="H109" i="1"/>
  <c r="I109" i="1" s="1"/>
  <c r="H108" i="1"/>
  <c r="H116" i="1"/>
  <c r="H113" i="1"/>
  <c r="F112" i="1"/>
  <c r="H112" i="1" s="1"/>
  <c r="I108" i="1" l="1"/>
  <c r="I116" i="1"/>
  <c r="H204" i="1"/>
  <c r="I204" i="1" s="1"/>
  <c r="H202" i="1"/>
  <c r="I202" i="1" s="1"/>
  <c r="I198" i="1"/>
  <c r="I200" i="1"/>
  <c r="F140" i="1"/>
  <c r="H140" i="1" s="1"/>
  <c r="H118" i="1"/>
  <c r="F81" i="1"/>
  <c r="H81" i="1" s="1"/>
  <c r="F199" i="1"/>
  <c r="H199" i="1" s="1"/>
  <c r="F196" i="1"/>
  <c r="H196" i="1" s="1"/>
  <c r="F123" i="1"/>
  <c r="F87" i="1"/>
  <c r="H87" i="1" s="1"/>
  <c r="F86" i="1"/>
  <c r="H86" i="1" s="1"/>
  <c r="F85" i="1"/>
  <c r="H85" i="1" s="1"/>
  <c r="I85" i="1" s="1"/>
  <c r="H123" i="1" l="1"/>
  <c r="I123" i="1" s="1"/>
  <c r="I199" i="1"/>
  <c r="I140" i="1"/>
  <c r="I118" i="1"/>
  <c r="I86" i="1"/>
  <c r="F32" i="1"/>
  <c r="H32" i="1" s="1"/>
  <c r="F203" i="1"/>
  <c r="H203" i="1" s="1"/>
  <c r="I197" i="1"/>
  <c r="F161" i="1"/>
  <c r="H161" i="1" s="1"/>
  <c r="F162" i="1"/>
  <c r="H162" i="1" s="1"/>
  <c r="F163" i="1"/>
  <c r="H163" i="1" s="1"/>
  <c r="I111" i="1"/>
  <c r="F82" i="1"/>
  <c r="H82" i="1" s="1"/>
  <c r="F84" i="1"/>
  <c r="F83" i="1"/>
  <c r="H83" i="1" s="1"/>
  <c r="F79" i="1"/>
  <c r="H79" i="1" s="1"/>
  <c r="F76" i="1"/>
  <c r="H76" i="1" s="1"/>
  <c r="F75" i="1"/>
  <c r="H75" i="1" s="1"/>
  <c r="I83" i="1" l="1"/>
  <c r="I196" i="1"/>
  <c r="H84" i="1"/>
  <c r="I84" i="1" s="1"/>
  <c r="I32" i="1"/>
  <c r="I39" i="1" s="1"/>
  <c r="H191" i="1"/>
  <c r="I191" i="1" l="1"/>
  <c r="H47" i="1" l="1"/>
  <c r="I47" i="1" s="1"/>
  <c r="F46" i="1"/>
  <c r="H46" i="1" s="1"/>
  <c r="I205" i="1"/>
  <c r="F165" i="1"/>
  <c r="H165" i="1" s="1"/>
  <c r="H164" i="1"/>
  <c r="I163" i="1"/>
  <c r="H133" i="1"/>
  <c r="F190" i="1"/>
  <c r="H190" i="1" s="1"/>
  <c r="H48" i="1"/>
  <c r="F66" i="1"/>
  <c r="H66" i="1" s="1"/>
  <c r="I107" i="1"/>
  <c r="I102" i="1"/>
  <c r="I101" i="1"/>
  <c r="I121" i="1"/>
  <c r="H120" i="1"/>
  <c r="F158" i="1"/>
  <c r="H153" i="1"/>
  <c r="F141" i="1"/>
  <c r="H141" i="1" s="1"/>
  <c r="F188" i="1"/>
  <c r="F117" i="1"/>
  <c r="H117" i="1" s="1"/>
  <c r="I117" i="1" s="1"/>
  <c r="F115" i="1"/>
  <c r="H115" i="1" s="1"/>
  <c r="F194" i="1"/>
  <c r="F49" i="1"/>
  <c r="H49" i="1" s="1"/>
  <c r="H90" i="1"/>
  <c r="F92" i="1"/>
  <c r="H92" i="1" s="1"/>
  <c r="F91" i="1"/>
  <c r="H91" i="1" s="1"/>
  <c r="F170" i="1"/>
  <c r="H170" i="1" s="1"/>
  <c r="H128" i="1"/>
  <c r="I128" i="1" s="1"/>
  <c r="F74" i="1"/>
  <c r="H74" i="1" s="1"/>
  <c r="F80" i="1"/>
  <c r="H80" i="1" s="1"/>
  <c r="H194" i="1" l="1"/>
  <c r="I194" i="1" s="1"/>
  <c r="H158" i="1"/>
  <c r="I158" i="1" s="1"/>
  <c r="I149" i="1"/>
  <c r="I165" i="1"/>
  <c r="I103" i="1"/>
  <c r="I164" i="1"/>
  <c r="I110" i="1"/>
  <c r="I133" i="1"/>
  <c r="I106" i="1"/>
  <c r="I153" i="1"/>
  <c r="I124" i="1"/>
  <c r="I190" i="1"/>
  <c r="I188" i="1"/>
  <c r="I189" i="1" l="1"/>
  <c r="I120" i="1" l="1"/>
  <c r="I141" i="1"/>
  <c r="I146" i="1" s="1"/>
  <c r="I49" i="1"/>
  <c r="I48" i="1"/>
  <c r="I50" i="1"/>
  <c r="I66" i="1"/>
  <c r="I195" i="1"/>
  <c r="I162" i="1"/>
  <c r="I166" i="1"/>
  <c r="I92" i="1"/>
  <c r="I91" i="1"/>
  <c r="I100" i="1"/>
  <c r="I99" i="1"/>
  <c r="I98" i="1"/>
  <c r="I90" i="1"/>
  <c r="I89" i="1"/>
  <c r="I82" i="1"/>
  <c r="I81" i="1"/>
  <c r="I43" i="1"/>
  <c r="I152" i="1"/>
  <c r="I150" i="1"/>
  <c r="I148" i="1" l="1"/>
  <c r="I156" i="1" s="1"/>
  <c r="I73" i="1"/>
  <c r="I80" i="1"/>
  <c r="I78" i="1"/>
  <c r="I161" i="1" l="1"/>
  <c r="I46" i="1"/>
  <c r="I42" i="1"/>
  <c r="I41" i="1"/>
  <c r="I115" i="1"/>
  <c r="I113" i="1"/>
  <c r="I112" i="1"/>
  <c r="I87" i="1"/>
  <c r="I174" i="1"/>
  <c r="I74" i="1"/>
  <c r="I79" i="1"/>
  <c r="I71" i="1" l="1"/>
  <c r="I130" i="1"/>
  <c r="I76" i="1"/>
  <c r="I95" i="1" s="1"/>
  <c r="I75" i="1"/>
  <c r="I171" i="1"/>
  <c r="I170" i="1"/>
  <c r="I169" i="1"/>
  <c r="I168" i="1"/>
  <c r="I172" i="1" l="1"/>
  <c r="I178" i="1"/>
  <c r="I182" i="1" s="1"/>
  <c r="I175" i="1"/>
  <c r="I176" i="1" s="1"/>
  <c r="I203" i="1"/>
  <c r="I210" i="1" s="1"/>
</calcChain>
</file>

<file path=xl/sharedStrings.xml><?xml version="1.0" encoding="utf-8"?>
<sst xmlns="http://schemas.openxmlformats.org/spreadsheetml/2006/main" count="715" uniqueCount="280">
  <si>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</si>
  <si>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</si>
  <si>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</si>
  <si>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</si>
  <si>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</si>
  <si>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</si>
  <si>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</si>
  <si>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</si>
  <si>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</si>
  <si>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</si>
  <si>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</si>
  <si>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</si>
  <si>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</si>
  <si>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</si>
  <si>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</si>
  <si>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</si>
  <si>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</si>
  <si>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</si>
  <si>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</si>
  <si>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</si>
  <si>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</si>
  <si>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</si>
  <si>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</si>
  <si>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</si>
  <si>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</si>
  <si>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</si>
  <si>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</si>
  <si>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</si>
  <si>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</si>
  <si>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</si>
  <si>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</si>
  <si>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</si>
  <si>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</si>
  <si>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</si>
  <si>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</si>
  <si>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</si>
  <si>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</si>
  <si>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</si>
  <si>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</si>
  <si>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</si>
  <si>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</si>
  <si>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</si>
  <si>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</si>
  <si>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</si>
  <si>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</si>
  <si>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</si>
  <si>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</si>
  <si>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</si>
  <si>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</si>
  <si>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</si>
  <si>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</si>
  <si>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</si>
  <si>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</si>
  <si>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</si>
  <si>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</si>
  <si>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</si>
  <si>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</si>
  <si>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</si>
  <si>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</si>
  <si>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</si>
  <si>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</si>
  <si>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</si>
  <si>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</si>
  <si>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</si>
  <si>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</si>
  <si>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</si>
  <si>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</si>
  <si>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</si>
  <si>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</si>
  <si>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</si>
  <si>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</si>
  <si>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</si>
  <si>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</si>
  <si>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</si>
  <si>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</si>
  <si>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</si>
  <si>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</si>
  <si>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</si>
  <si>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</si>
  <si>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</si>
  <si>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</si>
  <si>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</si>
  <si>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</si>
  <si>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</si>
  <si>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</si>
  <si>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</si>
  <si>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</si>
  <si>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</si>
  <si>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</si>
  <si>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</si>
  <si>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</si>
  <si>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</si>
  <si>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</si>
  <si>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</si>
  <si>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</si>
  <si>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</si>
  <si>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</si>
  <si>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</si>
  <si>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</si>
  <si>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</si>
  <si>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</si>
  <si>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</si>
  <si>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</si>
  <si>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</si>
  <si>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</si>
  <si>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</si>
  <si>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</si>
  <si>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</si>
  <si>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</si>
  <si>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</si>
  <si>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</si>
  <si>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</si>
  <si>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</si>
  <si>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</si>
  <si>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</si>
  <si>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</si>
  <si>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</si>
  <si>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</si>
  <si>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</si>
  <si>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</si>
  <si>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</si>
  <si>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</si>
  <si>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</si>
  <si>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</si>
  <si>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</si>
  <si>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</si>
  <si>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</si>
  <si>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</si>
  <si>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</si>
  <si>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</si>
  <si>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</si>
  <si>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</si>
  <si>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</si>
  <si>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</si>
  <si>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</si>
  <si>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</si>
  <si>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соед.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</si>
  <si>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</si>
  <si>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</si>
  <si>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</si>
  <si>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</si>
  <si>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</si>
  <si>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</si>
  <si>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</si>
  <si>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</si>
  <si>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</si>
  <si>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</si>
  <si>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проверка герметичности,промывка и гидравлические испытания системы отопления до 200мм</t>
  </si>
  <si>
    <t>фильтр</t>
  </si>
  <si>
    <t>гидропневматическая,гидрохимическая промывка теплообменников</t>
  </si>
  <si>
    <t>услуга</t>
  </si>
  <si>
    <t>смена внутренних трубопроводов из стальных труб диам. 20мм</t>
  </si>
  <si>
    <t>прокладка внутренних трубпроводов водоснабжения и отопления из полипропиленовых труб:диам. 40мм</t>
  </si>
  <si>
    <t>установка решеток на приямки</t>
  </si>
  <si>
    <t>кг</t>
  </si>
  <si>
    <t>м2 окрашиваемой поверхности</t>
  </si>
  <si>
    <t>провод групповой осветительных сетей в защитной оболочке</t>
  </si>
  <si>
    <t>м</t>
  </si>
  <si>
    <t>благоустройство</t>
  </si>
  <si>
    <t>лифт</t>
  </si>
  <si>
    <t>установка хомутов</t>
  </si>
  <si>
    <t>прочистка фильтра диам. 32мм</t>
  </si>
  <si>
    <t>3,4 квартал</t>
  </si>
  <si>
    <t>водоотлив из подвала электрическим насосом</t>
  </si>
  <si>
    <t>водоотлив из подвала ведрами</t>
  </si>
  <si>
    <t>смена дверных приборов:ручки скобы</t>
  </si>
  <si>
    <t>усиление сварных швов (наплавкой)</t>
  </si>
  <si>
    <t>1 м шва</t>
  </si>
  <si>
    <t>смена замков врезных</t>
  </si>
  <si>
    <t>смена дверных приборов:пружины</t>
  </si>
  <si>
    <t>смена дверных приборов:петли</t>
  </si>
  <si>
    <t>установка насосов погружных</t>
  </si>
  <si>
    <t>установка термометров</t>
  </si>
  <si>
    <t>разборка трубопроводов из водогазопроводных труб диам.до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</si>
  <si>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 40мм</t>
  </si>
  <si>
    <t>врезка в действующие внутренние сети трубопроводов отопления и водоснабжения диам. 25мм</t>
  </si>
  <si>
    <t>установка розетки</t>
  </si>
  <si>
    <t>МОП</t>
  </si>
  <si>
    <t>установка стендов</t>
  </si>
  <si>
    <t>смена досок на скамейке до 3 шт в одном месте</t>
  </si>
  <si>
    <t>окраска масляными составами ранее окрашенных больших металлических поверхностей(кроме крыш) за 1 раз</t>
  </si>
  <si>
    <t>окраска масляными составами ранее окрашенных поверхностей труб стальных за 1 раз</t>
  </si>
  <si>
    <t>установка фланцевых соединений</t>
  </si>
  <si>
    <t>смена сгонов у трубопроводов диам. 32мм</t>
  </si>
  <si>
    <t xml:space="preserve"> сгона</t>
  </si>
  <si>
    <t>2,3,4 квартал</t>
  </si>
  <si>
    <t>3,4квартал</t>
  </si>
  <si>
    <t xml:space="preserve">
Отчет о выполнении работ по текущему ремонту общего имущества 
в многоквартирном доме по адресу: г.Щёлково, ул.Шмидта, дом 1    на 2023 г.
</t>
  </si>
  <si>
    <t>1,4 квартал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</si>
  <si>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</si>
  <si>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</si>
  <si>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1 квартал</t>
  </si>
  <si>
    <t>прочистка фильтра диам. 25мм</t>
  </si>
  <si>
    <t>демонтаж стального сальникового компенсатора диам, 100мм</t>
  </si>
  <si>
    <t>монтаж стального сальникового компенсатора диам, 100мм</t>
  </si>
  <si>
    <t>замена клапана</t>
  </si>
  <si>
    <t>ремонт дверных полотен со сменой брусков обвязки горизонтальных на 2 сопряжения нижних</t>
  </si>
  <si>
    <t>влаговпитывающий коврик "Граффити"90*150</t>
  </si>
  <si>
    <t>смена внутренних трубопроводов из стальных труб диам. 40мм</t>
  </si>
  <si>
    <t>усиление сварных швов наплавкой</t>
  </si>
  <si>
    <t>прочистка фильтров</t>
  </si>
  <si>
    <t>очистка канализационной сети дворовой</t>
  </si>
  <si>
    <t>Работы по демонтажу, монтажу промывке, прочистке ПРЭМ диам. 65мм-2 шт</t>
  </si>
  <si>
    <t>разборка и сборка теплообменников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</si>
  <si>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 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</si>
  <si>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</si>
  <si>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25мм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</si>
  <si>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 25мм</t>
  </si>
  <si>
    <t>разборка трубопроводов из водогазопроводных труб диам.до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</si>
  <si>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 50мм</t>
  </si>
  <si>
    <t>услуги</t>
  </si>
  <si>
    <t>смена керамогранитных плит:до 10шт</t>
  </si>
  <si>
    <t>смена стекол в дверях на поликарбонат</t>
  </si>
  <si>
    <t>прокладка внутренних трубопроводов водоснабжения и отопления из полипропиленовых труб:диам. 50мм</t>
  </si>
  <si>
    <t>установка автоматов</t>
  </si>
  <si>
    <t>короба пластмассовые шириной до 40мм</t>
  </si>
  <si>
    <t>м.п.</t>
  </si>
  <si>
    <t>установка прожекторов</t>
  </si>
  <si>
    <t>демонтаж металлических дверей</t>
  </si>
  <si>
    <t>установка металлических дверей</t>
  </si>
  <si>
    <t xml:space="preserve">простая масляная окраска ранее окрашенных бордюров </t>
  </si>
  <si>
    <t>простая масляная окраска ранее окрашенных фасадов без подготовки с расчисткой строй краски до 10% с земли и лесов</t>
  </si>
  <si>
    <t>1,2,3,4 квартал</t>
  </si>
  <si>
    <t>прочистка фильтра диам. 80мм</t>
  </si>
  <si>
    <t>очистка внутренней поверхности: теплообменного аппарата</t>
  </si>
  <si>
    <t>1,2 квартал</t>
  </si>
  <si>
    <t>врезка в действующие внутренние сети трубопроводов отопления и водоснабжения диам. 32мм</t>
  </si>
  <si>
    <t>подготовка почвы для устройства партерного и обыкновенного газона с внесением растительной земли вручную</t>
  </si>
  <si>
    <t>посадка цветов в клумбы</t>
  </si>
  <si>
    <t>смена сгонов у трубопроводов диам. 20мм</t>
  </si>
  <si>
    <t>смена кранов шаровых диам. 15,20,25мм</t>
  </si>
  <si>
    <t>смена задвижек диам.100мм</t>
  </si>
  <si>
    <t>уничтожение сорняков ядохимикатами</t>
  </si>
  <si>
    <t>смена вентилей диам. 20мм</t>
  </si>
  <si>
    <t>полив зеленых насаждений из шланга поливочного водопровода</t>
  </si>
  <si>
    <t>прополка газонов</t>
  </si>
  <si>
    <t>справка о техническом состоянии здания</t>
  </si>
  <si>
    <t>смена внутренних трубопроводов из стальных труб диам. 15мм</t>
  </si>
  <si>
    <t>смена внутренних трубопроводов из стальных труб диам. 50мм</t>
  </si>
  <si>
    <t>врезка в действующие внутренние сети трубопроводов отопления и водоснабжения диам. 15мм</t>
  </si>
  <si>
    <t>врезка в действующие внутренние сети трубопроводов отопления и водоснабжения диам. 20мм</t>
  </si>
  <si>
    <t>устройство алпинариев и рокариев</t>
  </si>
  <si>
    <t>механическа защита,устройство устилочной защиты(щепа древесная)</t>
  </si>
  <si>
    <t>га</t>
  </si>
  <si>
    <t>устройство покрытий из линолеума насухо из готовых ковров(лифт 6 под)</t>
  </si>
  <si>
    <t>укладка накладного металлического профиля</t>
  </si>
  <si>
    <t>ремонт отмостки</t>
  </si>
  <si>
    <t>смена внутренних трубопроводов из стальных труб диам.32мм</t>
  </si>
  <si>
    <t>смена кранов шаровых диам.15,20, 25 мм</t>
  </si>
  <si>
    <t xml:space="preserve">техническое обслуживание системы пожарной сигнализации </t>
  </si>
  <si>
    <t>ремонт кровли</t>
  </si>
  <si>
    <t>смена дверных приборов:замки врезные</t>
  </si>
  <si>
    <t>наличие и герметичность приборов отопления:проверка на прогрев приборов с регулировкой</t>
  </si>
  <si>
    <t>установка кранов воздушных</t>
  </si>
  <si>
    <t>прокладка внутренних трубопроводов водоснабжения и отопления из полипропиленовых труб:диам. 40мм</t>
  </si>
  <si>
    <t>заделка трещин в асфальтобетонных покрытиях вручную битумом</t>
  </si>
  <si>
    <t>ремонт дверных коробок широких в каменных стенах без снятия полотна</t>
  </si>
  <si>
    <t>кор.</t>
  </si>
  <si>
    <t>устройство стяжек цементных толщиной 50мм</t>
  </si>
  <si>
    <t>устройство бетонных плитных крылец с заполнением швов цементным раствором</t>
  </si>
  <si>
    <t>демонтаж насосов</t>
  </si>
  <si>
    <t>монтаж насосов</t>
  </si>
  <si>
    <t>разъемы штепсельные с разделкой</t>
  </si>
  <si>
    <t>смена смесителей без душевой сетки</t>
  </si>
  <si>
    <t>смена гибкой подводки</t>
  </si>
  <si>
    <t>смена выпусков под раковиной</t>
  </si>
  <si>
    <t>ремонт и восстановление уплотнения стыков прокладками ПРП в 1 ряд  насухо</t>
  </si>
  <si>
    <t>смена стекол в дверях при площади стекол до 0,5м2</t>
  </si>
  <si>
    <t>ремонт дверных полотен со сменой брусков обвязки вертикальных на 2 сопряжения нижних</t>
  </si>
  <si>
    <t>заделка отверстий,гнезд и борозд железобетонных площадью до 0,1м2</t>
  </si>
  <si>
    <t>демонтаж кранов воздушных</t>
  </si>
  <si>
    <t>ремонт групповых щитков на лестничной клетке со сменой автоматов</t>
  </si>
  <si>
    <t>установка устройства БУАД</t>
  </si>
  <si>
    <t>ремонт дверных коробок широких в стенах</t>
  </si>
  <si>
    <t>смена дверных приборов шпингалеты</t>
  </si>
  <si>
    <t>установка и крепление наличников</t>
  </si>
  <si>
    <t>смена филенок в дверных полотнах</t>
  </si>
  <si>
    <t>снятие дверных полотен</t>
  </si>
  <si>
    <t>установка дверных полотен</t>
  </si>
  <si>
    <t>установка раскладок из дерева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</si>
</sst>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2" fontId="1" fillId="0" borderId="7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2" fontId="1" fillId="0" borderId="0" xfId="0" applyNumberFormat="1" applyFont="1"/>
    <xf numFmtId="0" fontId="8" fillId="3" borderId="4" xfId="0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8"/>
  <sheetViews>
    <sheetView tabSelected="1" topLeftCell="D179" zoomScaleNormal="100" workbookViewId="0">
      <selection activeCell="L185" sqref="L185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6" t="s">
        <v>98</v>
      </c>
      <c r="J1" s="66"/>
    </row>
    <row r="2" spans="1:12" ht="70.5" customHeight="1" x14ac:dyDescent="0.25">
      <c r="A2" s="61" t="s">
        <v>187</v>
      </c>
      <c r="B2" s="62"/>
      <c r="C2" s="62"/>
      <c r="D2" s="62"/>
      <c r="E2" s="62"/>
      <c r="F2" s="62"/>
      <c r="G2" s="62"/>
      <c r="H2" s="62"/>
      <c r="I2" s="62"/>
      <c r="J2" s="62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67" t="s">
        <v>89</v>
      </c>
      <c r="B4" s="68"/>
      <c r="C4" s="68"/>
      <c r="D4" s="68"/>
      <c r="E4" s="68"/>
      <c r="F4" s="68"/>
      <c r="G4" s="69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125</v>
      </c>
      <c r="E5" s="41" t="s">
        <v>143</v>
      </c>
      <c r="F5" s="41" t="s">
        <v>143</v>
      </c>
      <c r="G5" s="13" t="s">
        <v>116</v>
      </c>
      <c r="H5" s="41" t="s">
        <v>143</v>
      </c>
      <c r="I5" s="41" t="s">
        <v>143</v>
      </c>
      <c r="J5" s="13"/>
      <c r="K5" s="2"/>
      <c r="L5" s="2"/>
    </row>
    <row r="6" spans="1:12" ht="18.75" x14ac:dyDescent="0.3">
      <c r="A6" s="6"/>
      <c r="B6" s="5"/>
      <c r="C6" s="4"/>
      <c r="D6" s="15" t="s">
        <v>250</v>
      </c>
      <c r="E6" s="41" t="s">
        <v>143</v>
      </c>
      <c r="F6" s="41">
        <f>716.08</f>
        <v>716.08</v>
      </c>
      <c r="G6" s="13" t="s">
        <v>116</v>
      </c>
      <c r="H6" s="41">
        <f>930904/F6</f>
        <v>1300</v>
      </c>
      <c r="I6" s="73">
        <f>F6*H6</f>
        <v>930904</v>
      </c>
      <c r="J6" s="13" t="s">
        <v>120</v>
      </c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39</v>
      </c>
      <c r="E7" s="41" t="s">
        <v>143</v>
      </c>
      <c r="F7" s="41" t="s">
        <v>143</v>
      </c>
      <c r="G7" s="13" t="s">
        <v>30</v>
      </c>
      <c r="H7" s="41" t="s">
        <v>143</v>
      </c>
      <c r="I7" s="41" t="s">
        <v>143</v>
      </c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1" t="s">
        <v>143</v>
      </c>
      <c r="F8" s="41" t="s">
        <v>143</v>
      </c>
      <c r="G8" s="13" t="s">
        <v>30</v>
      </c>
      <c r="H8" s="41" t="s">
        <v>143</v>
      </c>
      <c r="I8" s="41" t="s">
        <v>143</v>
      </c>
      <c r="J8" s="5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1" t="s">
        <v>143</v>
      </c>
      <c r="F9" s="41" t="s">
        <v>143</v>
      </c>
      <c r="G9" s="13" t="s">
        <v>30</v>
      </c>
      <c r="H9" s="41" t="s">
        <v>143</v>
      </c>
      <c r="I9" s="41" t="s">
        <v>143</v>
      </c>
      <c r="J9" s="5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1" t="s">
        <v>143</v>
      </c>
      <c r="F10" s="41" t="s">
        <v>143</v>
      </c>
      <c r="G10" s="13" t="s">
        <v>30</v>
      </c>
      <c r="H10" s="41" t="s">
        <v>143</v>
      </c>
      <c r="I10" s="41" t="s">
        <v>143</v>
      </c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1"/>
      <c r="F11" s="41"/>
      <c r="G11" s="13" t="s">
        <v>31</v>
      </c>
      <c r="H11" s="41"/>
      <c r="I11" s="41"/>
      <c r="J11" s="13"/>
      <c r="K11" s="2"/>
      <c r="L11" s="2"/>
    </row>
    <row r="12" spans="1:12" ht="18.75" x14ac:dyDescent="0.3">
      <c r="A12" s="6"/>
      <c r="B12" s="5"/>
      <c r="C12" s="4"/>
      <c r="D12" s="4" t="s">
        <v>168</v>
      </c>
      <c r="E12" s="41"/>
      <c r="F12" s="41"/>
      <c r="G12" s="13" t="s">
        <v>31</v>
      </c>
      <c r="H12" s="41"/>
      <c r="I12" s="41"/>
      <c r="J12" s="13"/>
      <c r="K12" s="2"/>
      <c r="L12" s="2"/>
    </row>
    <row r="13" spans="1:12" ht="18.75" x14ac:dyDescent="0.3">
      <c r="A13" s="6"/>
      <c r="B13" s="5"/>
      <c r="C13" s="4"/>
      <c r="D13" s="4" t="s">
        <v>166</v>
      </c>
      <c r="E13" s="41"/>
      <c r="F13" s="41"/>
      <c r="G13" s="13" t="s">
        <v>167</v>
      </c>
      <c r="H13" s="41"/>
      <c r="I13" s="41"/>
      <c r="J13" s="13"/>
      <c r="K13" s="2"/>
      <c r="L13" s="2"/>
    </row>
    <row r="14" spans="1:12" ht="37.5" x14ac:dyDescent="0.3">
      <c r="A14" s="6" t="s">
        <v>6</v>
      </c>
      <c r="B14" s="5"/>
      <c r="C14" s="4"/>
      <c r="D14" s="4" t="s">
        <v>36</v>
      </c>
      <c r="E14" s="41" t="s">
        <v>143</v>
      </c>
      <c r="F14" s="41" t="s">
        <v>143</v>
      </c>
      <c r="G14" s="14" t="s">
        <v>31</v>
      </c>
      <c r="H14" s="41" t="s">
        <v>143</v>
      </c>
      <c r="I14" s="41" t="s">
        <v>143</v>
      </c>
      <c r="J14" s="5"/>
      <c r="K14" s="2"/>
      <c r="L14" s="2"/>
    </row>
    <row r="15" spans="1:12" ht="32.25" x14ac:dyDescent="0.3">
      <c r="A15" s="6" t="s">
        <v>64</v>
      </c>
      <c r="B15" s="5"/>
      <c r="C15" s="4"/>
      <c r="D15" s="15" t="s">
        <v>53</v>
      </c>
      <c r="E15" s="41" t="s">
        <v>143</v>
      </c>
      <c r="F15" s="41" t="s">
        <v>143</v>
      </c>
      <c r="G15" s="13" t="s">
        <v>30</v>
      </c>
      <c r="H15" s="41" t="s">
        <v>143</v>
      </c>
      <c r="I15" s="41" t="s">
        <v>143</v>
      </c>
      <c r="J15" s="5"/>
      <c r="L15" s="2"/>
    </row>
    <row r="16" spans="1:12" ht="27" customHeight="1" x14ac:dyDescent="0.3">
      <c r="A16" s="6" t="s">
        <v>7</v>
      </c>
      <c r="B16" s="5"/>
      <c r="C16" s="4"/>
      <c r="D16" s="15" t="s">
        <v>34</v>
      </c>
      <c r="E16" s="41" t="s">
        <v>143</v>
      </c>
      <c r="F16" s="41" t="s">
        <v>143</v>
      </c>
      <c r="G16" s="13" t="s">
        <v>30</v>
      </c>
      <c r="H16" s="41" t="s">
        <v>143</v>
      </c>
      <c r="I16" s="41" t="s">
        <v>143</v>
      </c>
      <c r="J16" s="5"/>
      <c r="K16" s="2"/>
      <c r="L16" s="2"/>
    </row>
    <row r="17" spans="1:12" ht="27" customHeight="1" x14ac:dyDescent="0.3">
      <c r="A17" s="28"/>
      <c r="B17" s="22"/>
      <c r="C17" s="22"/>
      <c r="D17" s="30"/>
      <c r="E17" s="44"/>
      <c r="F17" s="44"/>
      <c r="G17" s="31"/>
      <c r="H17" s="41"/>
      <c r="I17" s="45">
        <f>SUM(I6:I16)</f>
        <v>930904</v>
      </c>
      <c r="J17" s="5"/>
      <c r="K17" s="2"/>
      <c r="L17" s="2"/>
    </row>
    <row r="18" spans="1:12" ht="18.75" x14ac:dyDescent="0.3">
      <c r="A18" s="67" t="s">
        <v>57</v>
      </c>
      <c r="B18" s="68"/>
      <c r="C18" s="68"/>
      <c r="D18" s="68"/>
      <c r="E18" s="68"/>
      <c r="F18" s="68"/>
      <c r="G18" s="69"/>
      <c r="H18" s="14"/>
      <c r="I18" s="5"/>
      <c r="J18" s="5"/>
      <c r="L18" s="2"/>
    </row>
    <row r="19" spans="1:12" ht="18.75" x14ac:dyDescent="0.3">
      <c r="A19" s="6" t="s">
        <v>19</v>
      </c>
      <c r="B19" s="5"/>
      <c r="C19" s="4"/>
      <c r="D19" s="4" t="s">
        <v>97</v>
      </c>
      <c r="E19" s="41" t="s">
        <v>143</v>
      </c>
      <c r="F19" s="41" t="s">
        <v>143</v>
      </c>
      <c r="G19" s="14" t="s">
        <v>55</v>
      </c>
      <c r="H19" s="41" t="s">
        <v>143</v>
      </c>
      <c r="I19" s="41" t="s">
        <v>143</v>
      </c>
      <c r="J19" s="5"/>
      <c r="L19" s="2"/>
    </row>
    <row r="20" spans="1:12" ht="18.75" x14ac:dyDescent="0.3">
      <c r="A20" s="6" t="s">
        <v>13</v>
      </c>
      <c r="B20" s="5"/>
      <c r="C20" s="4"/>
      <c r="D20" s="4" t="s">
        <v>42</v>
      </c>
      <c r="E20" s="41" t="s">
        <v>143</v>
      </c>
      <c r="F20" s="41" t="s">
        <v>143</v>
      </c>
      <c r="G20" s="14" t="s">
        <v>54</v>
      </c>
      <c r="H20" s="41" t="s">
        <v>143</v>
      </c>
      <c r="I20" s="41" t="s">
        <v>143</v>
      </c>
      <c r="J20" s="5"/>
      <c r="L20" s="2"/>
    </row>
    <row r="21" spans="1:12" ht="18.75" x14ac:dyDescent="0.3">
      <c r="A21" s="6" t="s">
        <v>9</v>
      </c>
      <c r="B21" s="5"/>
      <c r="C21" s="4"/>
      <c r="D21" s="4" t="s">
        <v>35</v>
      </c>
      <c r="E21" s="41" t="s">
        <v>143</v>
      </c>
      <c r="F21" s="41" t="s">
        <v>143</v>
      </c>
      <c r="G21" s="14" t="s">
        <v>54</v>
      </c>
      <c r="H21" s="41" t="s">
        <v>143</v>
      </c>
      <c r="I21" s="41" t="s">
        <v>143</v>
      </c>
      <c r="J21" s="5"/>
      <c r="K21" s="2"/>
      <c r="L21" s="2"/>
    </row>
    <row r="22" spans="1:12" ht="18.75" x14ac:dyDescent="0.3">
      <c r="A22" s="6" t="s">
        <v>10</v>
      </c>
      <c r="B22" s="5"/>
      <c r="C22" s="4"/>
      <c r="D22" s="4" t="s">
        <v>33</v>
      </c>
      <c r="E22" s="41" t="s">
        <v>143</v>
      </c>
      <c r="F22" s="41" t="s">
        <v>143</v>
      </c>
      <c r="G22" s="14" t="s">
        <v>54</v>
      </c>
      <c r="H22" s="41" t="s">
        <v>143</v>
      </c>
      <c r="I22" s="41" t="s">
        <v>143</v>
      </c>
      <c r="J22" s="5"/>
      <c r="K22" s="2"/>
      <c r="L22" s="2"/>
    </row>
    <row r="23" spans="1:12" ht="18.75" x14ac:dyDescent="0.3">
      <c r="A23" s="6"/>
      <c r="B23" s="5"/>
      <c r="C23" s="4"/>
      <c r="D23" s="4" t="s">
        <v>246</v>
      </c>
      <c r="E23" s="41"/>
      <c r="F23" s="41">
        <v>0.5</v>
      </c>
      <c r="G23" s="14" t="s">
        <v>116</v>
      </c>
      <c r="H23" s="41">
        <f>1380.2/F23</f>
        <v>2760.4</v>
      </c>
      <c r="I23" s="73">
        <f>F23*H23</f>
        <v>1380.2</v>
      </c>
      <c r="J23" s="13" t="s">
        <v>120</v>
      </c>
      <c r="K23" s="2"/>
      <c r="L23" s="2"/>
    </row>
    <row r="24" spans="1:12" ht="18.75" x14ac:dyDescent="0.3">
      <c r="A24" s="6" t="s">
        <v>11</v>
      </c>
      <c r="B24" s="5"/>
      <c r="C24" s="4"/>
      <c r="D24" s="4" t="s">
        <v>40</v>
      </c>
      <c r="E24" s="41" t="s">
        <v>143</v>
      </c>
      <c r="F24" s="41" t="s">
        <v>143</v>
      </c>
      <c r="G24" s="14" t="s">
        <v>54</v>
      </c>
      <c r="H24" s="41" t="s">
        <v>143</v>
      </c>
      <c r="I24" s="41" t="s">
        <v>143</v>
      </c>
      <c r="J24" s="5"/>
      <c r="K24" s="2"/>
      <c r="L24" s="2"/>
    </row>
    <row r="25" spans="1:12" ht="18.75" x14ac:dyDescent="0.3">
      <c r="A25" s="6"/>
      <c r="B25" s="5"/>
      <c r="C25" s="4"/>
      <c r="D25" s="4" t="s">
        <v>153</v>
      </c>
      <c r="E25" s="41" t="s">
        <v>143</v>
      </c>
      <c r="F25" s="41" t="s">
        <v>143</v>
      </c>
      <c r="G25" s="14" t="s">
        <v>154</v>
      </c>
      <c r="H25" s="41" t="s">
        <v>143</v>
      </c>
      <c r="I25" s="41" t="s">
        <v>143</v>
      </c>
      <c r="J25" s="13"/>
      <c r="K25" s="2"/>
      <c r="L25" s="2"/>
    </row>
    <row r="26" spans="1:12" ht="18.75" x14ac:dyDescent="0.3">
      <c r="A26" s="6" t="s">
        <v>8</v>
      </c>
      <c r="B26" s="5"/>
      <c r="C26" s="4"/>
      <c r="D26" s="4" t="s">
        <v>32</v>
      </c>
      <c r="E26" s="41" t="s">
        <v>143</v>
      </c>
      <c r="F26" s="41" t="s">
        <v>143</v>
      </c>
      <c r="G26" s="13" t="s">
        <v>30</v>
      </c>
      <c r="H26" s="41" t="s">
        <v>143</v>
      </c>
      <c r="I26" s="41" t="s">
        <v>143</v>
      </c>
      <c r="J26" s="5"/>
      <c r="K26" s="2"/>
      <c r="L26" s="2"/>
    </row>
    <row r="27" spans="1:12" ht="24.75" customHeight="1" x14ac:dyDescent="0.3">
      <c r="A27" s="6" t="s">
        <v>12</v>
      </c>
      <c r="B27" s="5"/>
      <c r="C27" s="4"/>
      <c r="D27" s="15" t="s">
        <v>41</v>
      </c>
      <c r="E27" s="41" t="s">
        <v>143</v>
      </c>
      <c r="F27" s="41" t="s">
        <v>143</v>
      </c>
      <c r="G27" s="14" t="s">
        <v>54</v>
      </c>
      <c r="H27" s="41" t="s">
        <v>143</v>
      </c>
      <c r="I27" s="41" t="s">
        <v>143</v>
      </c>
      <c r="J27" s="5"/>
      <c r="K27" s="2"/>
      <c r="L27" s="2"/>
    </row>
    <row r="28" spans="1:12" ht="24.75" customHeight="1" x14ac:dyDescent="0.3">
      <c r="A28" s="6"/>
      <c r="B28" s="5"/>
      <c r="C28" s="4"/>
      <c r="D28" s="15" t="s">
        <v>258</v>
      </c>
      <c r="E28" s="41"/>
      <c r="F28" s="41">
        <f>7</f>
        <v>7</v>
      </c>
      <c r="G28" s="14" t="s">
        <v>116</v>
      </c>
      <c r="H28" s="45">
        <f>(7670.4+1658.2)/F28</f>
        <v>1332.6571428571428</v>
      </c>
      <c r="I28" s="73">
        <f>F28*H28</f>
        <v>9328.6</v>
      </c>
      <c r="J28" s="13" t="s">
        <v>120</v>
      </c>
      <c r="K28" s="2"/>
      <c r="L28" s="2"/>
    </row>
    <row r="29" spans="1:12" ht="37.5" customHeight="1" x14ac:dyDescent="0.3">
      <c r="A29" s="6"/>
      <c r="B29" s="5"/>
      <c r="C29" s="4"/>
      <c r="D29" s="15" t="s">
        <v>259</v>
      </c>
      <c r="E29" s="41"/>
      <c r="F29" s="41">
        <v>7</v>
      </c>
      <c r="G29" s="14" t="s">
        <v>116</v>
      </c>
      <c r="H29" s="45">
        <f>10484.4/F29</f>
        <v>1497.7714285714285</v>
      </c>
      <c r="I29" s="73">
        <f>F29*H29</f>
        <v>10484.4</v>
      </c>
      <c r="J29" s="13" t="s">
        <v>120</v>
      </c>
      <c r="K29" s="2"/>
      <c r="L29" s="2"/>
    </row>
    <row r="30" spans="1:12" ht="24.75" customHeight="1" x14ac:dyDescent="0.3">
      <c r="A30" s="6"/>
      <c r="B30" s="5"/>
      <c r="C30" s="4"/>
      <c r="D30" s="15"/>
      <c r="E30" s="41"/>
      <c r="F30" s="41"/>
      <c r="G30" s="14"/>
      <c r="H30" s="41"/>
      <c r="I30" s="41"/>
      <c r="J30" s="5"/>
      <c r="K30" s="2"/>
      <c r="L30" s="2"/>
    </row>
    <row r="31" spans="1:12" ht="18.75" x14ac:dyDescent="0.3">
      <c r="A31" s="6" t="s">
        <v>56</v>
      </c>
      <c r="B31" s="5"/>
      <c r="C31" s="4"/>
      <c r="D31" s="15" t="s">
        <v>144</v>
      </c>
      <c r="E31" s="41" t="s">
        <v>143</v>
      </c>
      <c r="F31" s="41" t="s">
        <v>143</v>
      </c>
      <c r="G31" s="14" t="s">
        <v>30</v>
      </c>
      <c r="H31" s="41" t="s">
        <v>143</v>
      </c>
      <c r="I31" s="41" t="s">
        <v>143</v>
      </c>
      <c r="J31" s="13"/>
      <c r="L31" s="2"/>
    </row>
    <row r="32" spans="1:12" ht="48" x14ac:dyDescent="0.3">
      <c r="A32" s="6"/>
      <c r="B32" s="5"/>
      <c r="C32" s="4"/>
      <c r="D32" s="15" t="s">
        <v>221</v>
      </c>
      <c r="E32" s="41"/>
      <c r="F32" s="41">
        <f>1+0.5</f>
        <v>1.5</v>
      </c>
      <c r="G32" s="13" t="s">
        <v>116</v>
      </c>
      <c r="H32" s="41">
        <f>(152.2+74.6)/F32</f>
        <v>151.19999999999999</v>
      </c>
      <c r="I32" s="73">
        <f>F32*H32</f>
        <v>226.79999999999998</v>
      </c>
      <c r="J32" s="13" t="s">
        <v>222</v>
      </c>
      <c r="L32" s="2"/>
    </row>
    <row r="33" spans="1:12" ht="32.25" x14ac:dyDescent="0.3">
      <c r="A33" s="6" t="s">
        <v>58</v>
      </c>
      <c r="B33" s="5"/>
      <c r="C33" s="4"/>
      <c r="D33" s="15" t="s">
        <v>96</v>
      </c>
      <c r="E33" s="41" t="s">
        <v>143</v>
      </c>
      <c r="F33" s="41" t="s">
        <v>143</v>
      </c>
      <c r="G33" s="14" t="s">
        <v>54</v>
      </c>
      <c r="H33" s="41" t="s">
        <v>143</v>
      </c>
      <c r="I33" s="41" t="s">
        <v>143</v>
      </c>
      <c r="J33" s="5"/>
      <c r="L33" s="2"/>
    </row>
    <row r="34" spans="1:12" ht="32.25" x14ac:dyDescent="0.3">
      <c r="A34" s="6" t="s">
        <v>14</v>
      </c>
      <c r="B34" s="5"/>
      <c r="C34" s="4"/>
      <c r="D34" s="15" t="s">
        <v>95</v>
      </c>
      <c r="E34" s="41" t="s">
        <v>143</v>
      </c>
      <c r="F34" s="41" t="s">
        <v>143</v>
      </c>
      <c r="G34" s="14" t="s">
        <v>55</v>
      </c>
      <c r="H34" s="41" t="s">
        <v>143</v>
      </c>
      <c r="I34" s="41" t="s">
        <v>143</v>
      </c>
      <c r="J34" s="5"/>
      <c r="L34" s="2"/>
    </row>
    <row r="35" spans="1:12" ht="18.75" x14ac:dyDescent="0.3">
      <c r="A35" s="6" t="s">
        <v>15</v>
      </c>
      <c r="B35" s="5"/>
      <c r="C35" s="4"/>
      <c r="D35" s="4" t="s">
        <v>43</v>
      </c>
      <c r="E35" s="41" t="s">
        <v>143</v>
      </c>
      <c r="F35" s="41" t="s">
        <v>143</v>
      </c>
      <c r="G35" s="14" t="s">
        <v>55</v>
      </c>
      <c r="H35" s="41" t="s">
        <v>143</v>
      </c>
      <c r="I35" s="41" t="s">
        <v>143</v>
      </c>
      <c r="J35" s="5"/>
      <c r="L35" s="2"/>
    </row>
    <row r="36" spans="1:12" ht="18.75" x14ac:dyDescent="0.3">
      <c r="A36" s="6" t="s">
        <v>16</v>
      </c>
      <c r="B36" s="5"/>
      <c r="C36" s="4"/>
      <c r="D36" s="4" t="s">
        <v>44</v>
      </c>
      <c r="E36" s="41" t="s">
        <v>143</v>
      </c>
      <c r="F36" s="41" t="s">
        <v>143</v>
      </c>
      <c r="G36" s="14" t="s">
        <v>54</v>
      </c>
      <c r="H36" s="41" t="s">
        <v>143</v>
      </c>
      <c r="I36" s="41" t="s">
        <v>143</v>
      </c>
      <c r="J36" s="5"/>
      <c r="L36" s="2"/>
    </row>
    <row r="37" spans="1:12" ht="18.75" x14ac:dyDescent="0.3">
      <c r="A37" s="6" t="s">
        <v>17</v>
      </c>
      <c r="B37" s="5"/>
      <c r="C37" s="4"/>
      <c r="D37" s="4" t="s">
        <v>45</v>
      </c>
      <c r="E37" s="41" t="s">
        <v>143</v>
      </c>
      <c r="F37" s="41" t="s">
        <v>143</v>
      </c>
      <c r="G37" s="13" t="s">
        <v>30</v>
      </c>
      <c r="H37" s="41" t="s">
        <v>143</v>
      </c>
      <c r="I37" s="41" t="s">
        <v>143</v>
      </c>
      <c r="J37" s="5"/>
      <c r="L37" s="2"/>
    </row>
    <row r="38" spans="1:12" ht="18.75" x14ac:dyDescent="0.3">
      <c r="A38" s="6" t="s">
        <v>18</v>
      </c>
      <c r="B38" s="5"/>
      <c r="C38" s="4"/>
      <c r="D38" s="4" t="s">
        <v>46</v>
      </c>
      <c r="E38" s="41" t="s">
        <v>143</v>
      </c>
      <c r="F38" s="41" t="s">
        <v>143</v>
      </c>
      <c r="G38" s="14" t="s">
        <v>55</v>
      </c>
      <c r="H38" s="41" t="s">
        <v>143</v>
      </c>
      <c r="I38" s="41" t="s">
        <v>143</v>
      </c>
      <c r="J38" s="5"/>
      <c r="L38" s="2"/>
    </row>
    <row r="39" spans="1:12" ht="18.75" x14ac:dyDescent="0.3">
      <c r="A39" s="28"/>
      <c r="B39" s="22"/>
      <c r="C39" s="22"/>
      <c r="D39" s="22"/>
      <c r="E39" s="44"/>
      <c r="F39" s="44"/>
      <c r="G39" s="12"/>
      <c r="H39" s="41"/>
      <c r="I39" s="41">
        <f>SUM(I23:I38)</f>
        <v>21420</v>
      </c>
      <c r="J39" s="5"/>
      <c r="L39" s="2"/>
    </row>
    <row r="40" spans="1:12" ht="24" customHeight="1" x14ac:dyDescent="0.3">
      <c r="A40" s="67" t="s">
        <v>87</v>
      </c>
      <c r="B40" s="68"/>
      <c r="C40" s="68"/>
      <c r="D40" s="68"/>
      <c r="E40" s="68"/>
      <c r="F40" s="68"/>
      <c r="G40" s="69"/>
      <c r="H40" s="14"/>
      <c r="I40" s="5"/>
      <c r="J40" s="5"/>
      <c r="L40" s="2"/>
    </row>
    <row r="41" spans="1:12" ht="32.25" customHeight="1" x14ac:dyDescent="0.3">
      <c r="A41" s="6" t="s">
        <v>50</v>
      </c>
      <c r="B41" s="5"/>
      <c r="C41" s="4"/>
      <c r="D41" s="15" t="s">
        <v>165</v>
      </c>
      <c r="E41" s="32"/>
      <c r="F41" s="13">
        <f>1+3+1+8</f>
        <v>13</v>
      </c>
      <c r="G41" s="38" t="s">
        <v>31</v>
      </c>
      <c r="H41" s="33">
        <f>(355.6+1122.6+374.2+2998.8)/F41</f>
        <v>373.16923076923075</v>
      </c>
      <c r="I41" s="74">
        <f t="shared" ref="I41:I47" si="0">F41*H41</f>
        <v>4851.2</v>
      </c>
      <c r="J41" s="13" t="s">
        <v>120</v>
      </c>
      <c r="L41" s="2"/>
    </row>
    <row r="42" spans="1:12" ht="32.25" customHeight="1" x14ac:dyDescent="0.3">
      <c r="A42" s="6"/>
      <c r="B42" s="5"/>
      <c r="C42" s="4"/>
      <c r="D42" s="15" t="s">
        <v>251</v>
      </c>
      <c r="E42" s="32"/>
      <c r="F42" s="31">
        <v>2</v>
      </c>
      <c r="G42" s="13" t="s">
        <v>31</v>
      </c>
      <c r="H42" s="31">
        <f>1897.2/F42</f>
        <v>948.6</v>
      </c>
      <c r="I42" s="75">
        <f t="shared" si="0"/>
        <v>1897.2</v>
      </c>
      <c r="J42" s="13" t="s">
        <v>120</v>
      </c>
      <c r="L42" s="2"/>
    </row>
    <row r="43" spans="1:12" ht="32.25" customHeight="1" x14ac:dyDescent="0.3">
      <c r="A43" s="6"/>
      <c r="B43" s="5"/>
      <c r="C43" s="4"/>
      <c r="D43" s="15" t="s">
        <v>170</v>
      </c>
      <c r="E43" s="32"/>
      <c r="F43" s="31">
        <f>2+8+9</f>
        <v>19</v>
      </c>
      <c r="G43" s="13" t="s">
        <v>31</v>
      </c>
      <c r="H43" s="57">
        <f>(1876.6+8111+9122)/F43</f>
        <v>1005.7684210526315</v>
      </c>
      <c r="I43" s="75">
        <f t="shared" si="0"/>
        <v>19109.599999999999</v>
      </c>
      <c r="J43" s="13" t="s">
        <v>122</v>
      </c>
      <c r="L43" s="2"/>
    </row>
    <row r="44" spans="1:12" ht="32.25" customHeight="1" x14ac:dyDescent="0.3">
      <c r="A44" s="6"/>
      <c r="B44" s="5"/>
      <c r="C44" s="4"/>
      <c r="D44" s="15" t="s">
        <v>170</v>
      </c>
      <c r="E44" s="32"/>
      <c r="F44" s="31">
        <v>1</v>
      </c>
      <c r="G44" s="13" t="s">
        <v>31</v>
      </c>
      <c r="H44" s="57">
        <f>1014/F44</f>
        <v>1014</v>
      </c>
      <c r="I44" s="84">
        <f t="shared" ref="I44" si="1">F44*H44</f>
        <v>1014</v>
      </c>
      <c r="J44" s="13" t="s">
        <v>122</v>
      </c>
      <c r="L44" s="2"/>
    </row>
    <row r="45" spans="1:12" ht="32.25" customHeight="1" x14ac:dyDescent="0.3">
      <c r="A45" s="6"/>
      <c r="B45" s="5"/>
      <c r="C45" s="4"/>
      <c r="D45" s="15" t="s">
        <v>169</v>
      </c>
      <c r="E45" s="32"/>
      <c r="F45" s="31">
        <f>3+2</f>
        <v>5</v>
      </c>
      <c r="G45" s="13" t="s">
        <v>31</v>
      </c>
      <c r="H45" s="57">
        <f>(1766.2+1179)/F45</f>
        <v>589.04</v>
      </c>
      <c r="I45" s="75">
        <f t="shared" si="0"/>
        <v>2945.2</v>
      </c>
      <c r="J45" s="13" t="s">
        <v>122</v>
      </c>
      <c r="L45" s="2"/>
    </row>
    <row r="46" spans="1:12" ht="32.25" customHeight="1" x14ac:dyDescent="0.3">
      <c r="A46" s="6"/>
      <c r="B46" s="5"/>
      <c r="C46" s="4"/>
      <c r="D46" s="15" t="s">
        <v>218</v>
      </c>
      <c r="E46" s="32"/>
      <c r="F46" s="31">
        <f>2</f>
        <v>2</v>
      </c>
      <c r="G46" s="13" t="s">
        <v>116</v>
      </c>
      <c r="H46" s="31">
        <f>2789/F46</f>
        <v>1394.5</v>
      </c>
      <c r="I46" s="75">
        <f t="shared" si="0"/>
        <v>2789</v>
      </c>
      <c r="J46" s="13" t="s">
        <v>122</v>
      </c>
      <c r="L46" s="2"/>
    </row>
    <row r="47" spans="1:12" ht="32.25" customHeight="1" x14ac:dyDescent="0.3">
      <c r="A47" s="6"/>
      <c r="B47" s="5"/>
      <c r="C47" s="4"/>
      <c r="D47" s="15" t="s">
        <v>219</v>
      </c>
      <c r="E47" s="32"/>
      <c r="F47" s="31">
        <v>2</v>
      </c>
      <c r="G47" s="13" t="s">
        <v>116</v>
      </c>
      <c r="H47" s="31">
        <f>4417.6/F47</f>
        <v>2208.8000000000002</v>
      </c>
      <c r="I47" s="75">
        <f t="shared" si="0"/>
        <v>4417.6000000000004</v>
      </c>
      <c r="J47" s="13" t="s">
        <v>122</v>
      </c>
      <c r="L47" s="2"/>
    </row>
    <row r="48" spans="1:12" ht="32.25" customHeight="1" x14ac:dyDescent="0.3">
      <c r="A48" s="6"/>
      <c r="B48" s="5"/>
      <c r="C48" s="4"/>
      <c r="D48" s="15" t="s">
        <v>212</v>
      </c>
      <c r="E48" s="32"/>
      <c r="F48" s="31">
        <v>0.32</v>
      </c>
      <c r="G48" s="13" t="s">
        <v>116</v>
      </c>
      <c r="H48" s="31">
        <f>1743.6/F48</f>
        <v>5448.75</v>
      </c>
      <c r="I48" s="75">
        <f t="shared" ref="I48:I49" si="2">F48*H48</f>
        <v>1743.6000000000001</v>
      </c>
      <c r="J48" s="13" t="s">
        <v>122</v>
      </c>
      <c r="L48" s="2"/>
    </row>
    <row r="49" spans="1:12" ht="32.25" customHeight="1" x14ac:dyDescent="0.3">
      <c r="A49" s="6"/>
      <c r="B49" s="5"/>
      <c r="C49" s="4"/>
      <c r="D49" s="15" t="s">
        <v>196</v>
      </c>
      <c r="E49" s="32"/>
      <c r="F49" s="31">
        <f>2</f>
        <v>2</v>
      </c>
      <c r="G49" s="13" t="s">
        <v>31</v>
      </c>
      <c r="H49" s="31">
        <f>5289.4/F49</f>
        <v>2644.7</v>
      </c>
      <c r="I49" s="75">
        <f t="shared" si="2"/>
        <v>5289.4</v>
      </c>
      <c r="J49" s="13" t="s">
        <v>122</v>
      </c>
      <c r="L49" s="2"/>
    </row>
    <row r="50" spans="1:12" ht="32.25" customHeight="1" x14ac:dyDescent="0.3">
      <c r="A50" s="6"/>
      <c r="B50" s="5"/>
      <c r="C50" s="4"/>
      <c r="D50" s="15" t="s">
        <v>180</v>
      </c>
      <c r="E50" s="32"/>
      <c r="F50" s="31">
        <f>53+4.6</f>
        <v>57.6</v>
      </c>
      <c r="G50" s="13" t="s">
        <v>116</v>
      </c>
      <c r="H50" s="57">
        <f>(7540.4+670.2)/F50</f>
        <v>142.54513888888889</v>
      </c>
      <c r="I50" s="75">
        <f>F50*H50</f>
        <v>8210.6</v>
      </c>
      <c r="J50" s="13" t="s">
        <v>122</v>
      </c>
      <c r="L50" s="2"/>
    </row>
    <row r="51" spans="1:12" ht="32.25" customHeight="1" x14ac:dyDescent="0.3">
      <c r="A51" s="6"/>
      <c r="B51" s="5"/>
      <c r="C51" s="4"/>
      <c r="D51" s="15" t="s">
        <v>256</v>
      </c>
      <c r="E51" s="32"/>
      <c r="F51" s="31">
        <f>5</f>
        <v>5</v>
      </c>
      <c r="G51" s="13" t="s">
        <v>257</v>
      </c>
      <c r="H51" s="57">
        <f>9817.4/F51</f>
        <v>1963.48</v>
      </c>
      <c r="I51" s="75">
        <f>F51*H51</f>
        <v>9817.4</v>
      </c>
      <c r="J51" s="13" t="s">
        <v>122</v>
      </c>
      <c r="L51" s="2"/>
    </row>
    <row r="52" spans="1:12" ht="32.25" customHeight="1" x14ac:dyDescent="0.3">
      <c r="A52" s="6"/>
      <c r="B52" s="5"/>
      <c r="C52" s="4"/>
      <c r="D52" s="15" t="s">
        <v>266</v>
      </c>
      <c r="E52" s="32"/>
      <c r="F52" s="31">
        <f>6.5</f>
        <v>6.5</v>
      </c>
      <c r="G52" s="13" t="s">
        <v>157</v>
      </c>
      <c r="H52" s="57">
        <f>1714.4/F52</f>
        <v>263.75384615384615</v>
      </c>
      <c r="I52" s="75">
        <f>F52*H52</f>
        <v>1714.4</v>
      </c>
      <c r="J52" s="13" t="s">
        <v>122</v>
      </c>
      <c r="L52" s="2"/>
    </row>
    <row r="53" spans="1:12" ht="32.25" customHeight="1" x14ac:dyDescent="0.3">
      <c r="A53" s="6"/>
      <c r="B53" s="5"/>
      <c r="C53" s="4"/>
      <c r="D53" s="15" t="s">
        <v>267</v>
      </c>
      <c r="E53" s="32"/>
      <c r="F53" s="31">
        <f>0.32+3.2</f>
        <v>3.52</v>
      </c>
      <c r="G53" s="13" t="s">
        <v>116</v>
      </c>
      <c r="H53" s="57">
        <f>(843.8+10832.4)/F53</f>
        <v>3317.1022727272725</v>
      </c>
      <c r="I53" s="75">
        <f>F53*H53</f>
        <v>11676.199999999999</v>
      </c>
      <c r="J53" s="13" t="s">
        <v>122</v>
      </c>
      <c r="L53" s="2"/>
    </row>
    <row r="54" spans="1:12" ht="32.25" customHeight="1" x14ac:dyDescent="0.3">
      <c r="A54" s="6"/>
      <c r="B54" s="5"/>
      <c r="C54" s="4"/>
      <c r="D54" s="15" t="s">
        <v>268</v>
      </c>
      <c r="E54" s="32"/>
      <c r="F54" s="31">
        <f>2</f>
        <v>2</v>
      </c>
      <c r="G54" s="13" t="s">
        <v>31</v>
      </c>
      <c r="H54" s="57">
        <f>6708.4/F54</f>
        <v>3354.2</v>
      </c>
      <c r="I54" s="75">
        <f>F54*H54</f>
        <v>6708.4</v>
      </c>
      <c r="J54" s="13" t="s">
        <v>122</v>
      </c>
      <c r="L54" s="2"/>
    </row>
    <row r="55" spans="1:12" ht="32.25" customHeight="1" x14ac:dyDescent="0.3">
      <c r="A55" s="6"/>
      <c r="B55" s="5"/>
      <c r="C55" s="4"/>
      <c r="D55" s="15" t="s">
        <v>273</v>
      </c>
      <c r="E55" s="32"/>
      <c r="F55" s="31">
        <f>20</f>
        <v>20</v>
      </c>
      <c r="G55" s="13" t="s">
        <v>31</v>
      </c>
      <c r="H55" s="57">
        <f>22225.6/F55</f>
        <v>1111.28</v>
      </c>
      <c r="I55" s="75">
        <f>F55*H55</f>
        <v>22225.599999999999</v>
      </c>
      <c r="J55" s="13" t="s">
        <v>122</v>
      </c>
      <c r="L55" s="2"/>
    </row>
    <row r="56" spans="1:12" ht="32.25" customHeight="1" x14ac:dyDescent="0.3">
      <c r="A56" s="6"/>
      <c r="B56" s="5"/>
      <c r="C56" s="4"/>
      <c r="D56" s="15" t="s">
        <v>274</v>
      </c>
      <c r="E56" s="32"/>
      <c r="F56" s="31">
        <f>5</f>
        <v>5</v>
      </c>
      <c r="G56" s="13" t="s">
        <v>31</v>
      </c>
      <c r="H56" s="57">
        <f>7211.4/F56</f>
        <v>1442.28</v>
      </c>
      <c r="I56" s="75">
        <f>F56*H56</f>
        <v>7211.4</v>
      </c>
      <c r="J56" s="13" t="s">
        <v>122</v>
      </c>
      <c r="L56" s="2"/>
    </row>
    <row r="57" spans="1:12" ht="32.25" customHeight="1" x14ac:dyDescent="0.3">
      <c r="A57" s="6"/>
      <c r="B57" s="5"/>
      <c r="C57" s="4"/>
      <c r="D57" s="15" t="s">
        <v>275</v>
      </c>
      <c r="E57" s="32"/>
      <c r="F57" s="31">
        <v>6.6</v>
      </c>
      <c r="G57" s="13" t="s">
        <v>157</v>
      </c>
      <c r="H57" s="57">
        <f>895.4/F57</f>
        <v>135.66666666666666</v>
      </c>
      <c r="I57" s="75">
        <f>F57*H57</f>
        <v>895.39999999999986</v>
      </c>
      <c r="J57" s="13" t="s">
        <v>122</v>
      </c>
      <c r="L57" s="2"/>
    </row>
    <row r="58" spans="1:12" ht="32.25" customHeight="1" x14ac:dyDescent="0.3">
      <c r="A58" s="6"/>
      <c r="B58" s="5"/>
      <c r="C58" s="4"/>
      <c r="D58" s="15" t="s">
        <v>276</v>
      </c>
      <c r="E58" s="32"/>
      <c r="F58" s="31">
        <f>2</f>
        <v>2</v>
      </c>
      <c r="G58" s="13" t="s">
        <v>31</v>
      </c>
      <c r="H58" s="57">
        <f>19626.6/F58</f>
        <v>9813.2999999999993</v>
      </c>
      <c r="I58" s="75">
        <f>F58*H58</f>
        <v>19626.599999999999</v>
      </c>
      <c r="J58" s="13" t="s">
        <v>122</v>
      </c>
      <c r="L58" s="2"/>
    </row>
    <row r="59" spans="1:12" ht="32.25" customHeight="1" x14ac:dyDescent="0.3">
      <c r="A59" s="6"/>
      <c r="B59" s="5"/>
      <c r="C59" s="4"/>
      <c r="D59" s="15" t="s">
        <v>277</v>
      </c>
      <c r="E59" s="32"/>
      <c r="F59" s="31">
        <f>2</f>
        <v>2</v>
      </c>
      <c r="G59" s="13" t="s">
        <v>31</v>
      </c>
      <c r="H59" s="57">
        <f>633.2/F59</f>
        <v>316.60000000000002</v>
      </c>
      <c r="I59" s="75">
        <f>F59*H59</f>
        <v>633.20000000000005</v>
      </c>
      <c r="J59" s="13" t="s">
        <v>122</v>
      </c>
      <c r="L59" s="2"/>
    </row>
    <row r="60" spans="1:12" ht="32.25" customHeight="1" x14ac:dyDescent="0.3">
      <c r="A60" s="6"/>
      <c r="B60" s="5"/>
      <c r="C60" s="4"/>
      <c r="D60" s="15" t="s">
        <v>278</v>
      </c>
      <c r="E60" s="32"/>
      <c r="F60" s="31">
        <f>1</f>
        <v>1</v>
      </c>
      <c r="G60" s="13" t="s">
        <v>31</v>
      </c>
      <c r="H60" s="57">
        <f>2203/F60</f>
        <v>2203</v>
      </c>
      <c r="I60" s="75">
        <f>F60*H60</f>
        <v>2203</v>
      </c>
      <c r="J60" s="13" t="s">
        <v>122</v>
      </c>
      <c r="L60" s="2"/>
    </row>
    <row r="61" spans="1:12" ht="32.25" customHeight="1" x14ac:dyDescent="0.3">
      <c r="A61" s="6"/>
      <c r="B61" s="5"/>
      <c r="C61" s="4"/>
      <c r="D61" s="15" t="s">
        <v>279</v>
      </c>
      <c r="E61" s="32"/>
      <c r="F61" s="31">
        <f>24.7</f>
        <v>24.7</v>
      </c>
      <c r="G61" s="13" t="s">
        <v>157</v>
      </c>
      <c r="H61" s="57">
        <f>1164.4/F61</f>
        <v>47.141700404858305</v>
      </c>
      <c r="I61" s="75">
        <f>F61*H61</f>
        <v>1164.4000000000001</v>
      </c>
      <c r="J61" s="13" t="s">
        <v>122</v>
      </c>
      <c r="L61" s="2"/>
    </row>
    <row r="62" spans="1:12" ht="32.25" x14ac:dyDescent="0.3">
      <c r="A62" s="6" t="s">
        <v>51</v>
      </c>
      <c r="B62" s="5"/>
      <c r="C62" s="4"/>
      <c r="D62" s="15" t="s">
        <v>101</v>
      </c>
      <c r="E62" s="41"/>
      <c r="F62" s="41"/>
      <c r="G62" s="13" t="s">
        <v>116</v>
      </c>
      <c r="H62" s="41"/>
      <c r="I62" s="41"/>
      <c r="J62" s="13"/>
      <c r="L62" s="2"/>
    </row>
    <row r="63" spans="1:12" ht="32.25" x14ac:dyDescent="0.3">
      <c r="A63" s="6" t="s">
        <v>60</v>
      </c>
      <c r="B63" s="8"/>
      <c r="C63" s="4"/>
      <c r="D63" s="15" t="s">
        <v>47</v>
      </c>
      <c r="E63" s="41"/>
      <c r="F63" s="41"/>
      <c r="G63" s="14" t="s">
        <v>54</v>
      </c>
      <c r="H63" s="41" t="s">
        <v>143</v>
      </c>
      <c r="I63" s="41" t="s">
        <v>143</v>
      </c>
      <c r="J63" s="5"/>
      <c r="L63" s="2"/>
    </row>
    <row r="64" spans="1:12" ht="32.25" x14ac:dyDescent="0.3">
      <c r="A64" s="6"/>
      <c r="B64" s="8"/>
      <c r="C64" s="4"/>
      <c r="D64" s="15" t="s">
        <v>269</v>
      </c>
      <c r="E64" s="41"/>
      <c r="F64" s="41">
        <f>2</f>
        <v>2</v>
      </c>
      <c r="G64" s="14" t="s">
        <v>31</v>
      </c>
      <c r="H64" s="41">
        <f>1872.4/F64</f>
        <v>936.2</v>
      </c>
      <c r="I64" s="73">
        <f>F64*H64</f>
        <v>1872.4</v>
      </c>
      <c r="J64" s="5"/>
      <c r="L64" s="2"/>
    </row>
    <row r="65" spans="1:12" ht="18.75" x14ac:dyDescent="0.3">
      <c r="A65" s="6" t="s">
        <v>62</v>
      </c>
      <c r="B65" s="5"/>
      <c r="C65" s="4"/>
      <c r="D65" s="15" t="s">
        <v>52</v>
      </c>
      <c r="E65" s="41"/>
      <c r="F65" s="41"/>
      <c r="G65" s="14" t="s">
        <v>54</v>
      </c>
      <c r="H65" s="41" t="s">
        <v>143</v>
      </c>
      <c r="I65" s="41" t="s">
        <v>143</v>
      </c>
      <c r="J65" s="5"/>
      <c r="L65" s="2"/>
    </row>
    <row r="66" spans="1:12" ht="18.75" x14ac:dyDescent="0.3">
      <c r="A66" s="6"/>
      <c r="B66" s="5"/>
      <c r="C66" s="4"/>
      <c r="D66" s="15" t="s">
        <v>211</v>
      </c>
      <c r="E66" s="41"/>
      <c r="F66" s="41">
        <f>3</f>
        <v>3</v>
      </c>
      <c r="G66" s="14" t="s">
        <v>31</v>
      </c>
      <c r="H66" s="45">
        <f>327.2/F66</f>
        <v>109.06666666666666</v>
      </c>
      <c r="I66" s="73">
        <f>F66*H66</f>
        <v>327.2</v>
      </c>
      <c r="J66" s="13" t="s">
        <v>122</v>
      </c>
      <c r="L66" s="2"/>
    </row>
    <row r="67" spans="1:12" ht="32.25" x14ac:dyDescent="0.3">
      <c r="A67" s="6" t="s">
        <v>63</v>
      </c>
      <c r="B67" s="5"/>
      <c r="C67" s="4"/>
      <c r="D67" s="15" t="s">
        <v>65</v>
      </c>
      <c r="E67" s="41" t="s">
        <v>143</v>
      </c>
      <c r="F67" s="41" t="s">
        <v>143</v>
      </c>
      <c r="G67" s="13" t="s">
        <v>30</v>
      </c>
      <c r="H67" s="41" t="s">
        <v>143</v>
      </c>
      <c r="I67" s="41" t="s">
        <v>143</v>
      </c>
      <c r="J67" s="5"/>
      <c r="L67" s="2"/>
    </row>
    <row r="68" spans="1:12" ht="18.75" x14ac:dyDescent="0.3">
      <c r="A68" s="6" t="s">
        <v>59</v>
      </c>
      <c r="B68" s="8"/>
      <c r="C68" s="4"/>
      <c r="D68" s="4" t="s">
        <v>48</v>
      </c>
      <c r="E68" s="41" t="s">
        <v>143</v>
      </c>
      <c r="F68" s="41" t="s">
        <v>143</v>
      </c>
      <c r="G68" s="14" t="s">
        <v>54</v>
      </c>
      <c r="H68" s="41" t="s">
        <v>143</v>
      </c>
      <c r="I68" s="41" t="s">
        <v>143</v>
      </c>
      <c r="J68" s="5"/>
      <c r="L68" s="2"/>
    </row>
    <row r="69" spans="1:12" ht="24" customHeight="1" x14ac:dyDescent="0.3">
      <c r="A69" s="6" t="s">
        <v>61</v>
      </c>
      <c r="B69" s="8"/>
      <c r="C69" s="4"/>
      <c r="D69" s="4" t="s">
        <v>49</v>
      </c>
      <c r="E69" s="41" t="s">
        <v>143</v>
      </c>
      <c r="F69" s="41" t="s">
        <v>143</v>
      </c>
      <c r="G69" s="14" t="s">
        <v>54</v>
      </c>
      <c r="H69" s="41" t="s">
        <v>143</v>
      </c>
      <c r="I69" s="41" t="s">
        <v>143</v>
      </c>
      <c r="J69" s="5"/>
      <c r="L69" s="2"/>
    </row>
    <row r="70" spans="1:12" ht="18.75" x14ac:dyDescent="0.3">
      <c r="A70" s="6" t="s">
        <v>66</v>
      </c>
      <c r="B70" s="5"/>
      <c r="C70" s="4"/>
      <c r="D70" s="4" t="s">
        <v>94</v>
      </c>
      <c r="E70" s="41" t="s">
        <v>143</v>
      </c>
      <c r="F70" s="41" t="s">
        <v>143</v>
      </c>
      <c r="G70" s="14" t="s">
        <v>55</v>
      </c>
      <c r="H70" s="41" t="s">
        <v>143</v>
      </c>
      <c r="I70" s="41" t="s">
        <v>143</v>
      </c>
      <c r="J70" s="5"/>
      <c r="L70" s="2"/>
    </row>
    <row r="71" spans="1:12" ht="18.75" x14ac:dyDescent="0.3">
      <c r="A71" s="28"/>
      <c r="B71" s="22"/>
      <c r="C71" s="22"/>
      <c r="D71" s="22"/>
      <c r="E71" s="44"/>
      <c r="F71" s="44"/>
      <c r="G71" s="12"/>
      <c r="H71" s="41"/>
      <c r="I71" s="45">
        <f>SUM(I41:I70)</f>
        <v>138343</v>
      </c>
      <c r="J71" s="5"/>
      <c r="L71" s="2"/>
    </row>
    <row r="72" spans="1:12" ht="18.75" x14ac:dyDescent="0.3">
      <c r="A72" s="67" t="s">
        <v>68</v>
      </c>
      <c r="B72" s="68"/>
      <c r="C72" s="68"/>
      <c r="D72" s="68"/>
      <c r="E72" s="68"/>
      <c r="F72" s="68"/>
      <c r="G72" s="69"/>
      <c r="H72" s="18"/>
      <c r="I72" s="5"/>
      <c r="J72" s="5"/>
      <c r="L72" s="2"/>
    </row>
    <row r="73" spans="1:12" ht="47.25" x14ac:dyDescent="0.25">
      <c r="A73" s="9" t="s">
        <v>29</v>
      </c>
      <c r="B73" s="8"/>
      <c r="C73" s="4"/>
      <c r="D73" s="15" t="s">
        <v>252</v>
      </c>
      <c r="E73" s="41"/>
      <c r="F73" s="41">
        <f>18+12</f>
        <v>30</v>
      </c>
      <c r="G73" s="13" t="s">
        <v>55</v>
      </c>
      <c r="H73" s="45">
        <f>(2860.6+1908)/F73</f>
        <v>158.95333333333335</v>
      </c>
      <c r="I73" s="41">
        <f>F73*H73</f>
        <v>4768.6000000000004</v>
      </c>
      <c r="J73" s="13" t="s">
        <v>122</v>
      </c>
      <c r="L73" s="2"/>
    </row>
    <row r="74" spans="1:12" ht="46.5" customHeight="1" x14ac:dyDescent="0.25">
      <c r="A74" s="9" t="s">
        <v>93</v>
      </c>
      <c r="B74" s="8"/>
      <c r="C74" s="4"/>
      <c r="D74" s="42" t="s">
        <v>127</v>
      </c>
      <c r="E74" s="32"/>
      <c r="F74" s="13">
        <f>4154.2</f>
        <v>4154.2</v>
      </c>
      <c r="G74" s="13" t="s">
        <v>116</v>
      </c>
      <c r="H74" s="33">
        <f>(17494.2+17494.2+14494.2+17889.2+17889.2+17889.2+18364+18364+18364+18941.8+18941.8+18941.8)/F74</f>
        <v>51.771123200616238</v>
      </c>
      <c r="I74" s="33">
        <f t="shared" ref="I74:I89" si="3">F74*H74</f>
        <v>215067.59999999998</v>
      </c>
      <c r="J74" s="13" t="s">
        <v>185</v>
      </c>
      <c r="L74" s="2"/>
    </row>
    <row r="75" spans="1:12" ht="46.5" customHeight="1" x14ac:dyDescent="0.25">
      <c r="A75" s="9"/>
      <c r="B75" s="8"/>
      <c r="C75" s="4"/>
      <c r="D75" s="15" t="s">
        <v>114</v>
      </c>
      <c r="E75" s="32"/>
      <c r="F75" s="13">
        <f>3700</f>
        <v>3700</v>
      </c>
      <c r="G75" s="13" t="s">
        <v>30</v>
      </c>
      <c r="H75" s="33">
        <f>309081.8/F75</f>
        <v>83.535621621621615</v>
      </c>
      <c r="I75" s="33">
        <f t="shared" si="3"/>
        <v>309081.8</v>
      </c>
      <c r="J75" s="13" t="s">
        <v>124</v>
      </c>
      <c r="L75" s="2"/>
    </row>
    <row r="76" spans="1:12" ht="46.5" customHeight="1" x14ac:dyDescent="0.25">
      <c r="A76" s="9"/>
      <c r="B76" s="8"/>
      <c r="C76" s="4"/>
      <c r="D76" s="15" t="s">
        <v>115</v>
      </c>
      <c r="E76" s="41"/>
      <c r="F76" s="41">
        <f>520</f>
        <v>520</v>
      </c>
      <c r="G76" s="13" t="s">
        <v>30</v>
      </c>
      <c r="H76" s="45">
        <f>43933.2/F76</f>
        <v>84.486923076923077</v>
      </c>
      <c r="I76" s="41">
        <f t="shared" si="3"/>
        <v>43933.2</v>
      </c>
      <c r="J76" s="13" t="s">
        <v>124</v>
      </c>
      <c r="L76" s="2"/>
    </row>
    <row r="77" spans="1:12" ht="46.5" customHeight="1" x14ac:dyDescent="0.25">
      <c r="A77" s="9"/>
      <c r="B77" s="8"/>
      <c r="C77" s="4"/>
      <c r="D77" s="15" t="s">
        <v>147</v>
      </c>
      <c r="E77" s="41" t="s">
        <v>143</v>
      </c>
      <c r="F77" s="41" t="s">
        <v>143</v>
      </c>
      <c r="G77" s="13" t="s">
        <v>30</v>
      </c>
      <c r="H77" s="41" t="s">
        <v>143</v>
      </c>
      <c r="I77" s="41" t="s">
        <v>143</v>
      </c>
      <c r="J77" s="13"/>
      <c r="L77" s="2"/>
    </row>
    <row r="78" spans="1:12" ht="46.5" customHeight="1" x14ac:dyDescent="0.25">
      <c r="A78" s="9"/>
      <c r="B78" s="8"/>
      <c r="C78" s="4"/>
      <c r="D78" s="15" t="s">
        <v>160</v>
      </c>
      <c r="E78" s="41"/>
      <c r="F78" s="41">
        <f>3+1+2+1+3</f>
        <v>10</v>
      </c>
      <c r="G78" s="13" t="s">
        <v>31</v>
      </c>
      <c r="H78" s="45">
        <f>(3879+1363.6+2728.2+1363.6+4199)/F78</f>
        <v>1353.34</v>
      </c>
      <c r="I78" s="41">
        <f>F78*H78</f>
        <v>13533.4</v>
      </c>
      <c r="J78" s="13" t="s">
        <v>122</v>
      </c>
      <c r="L78" s="2"/>
    </row>
    <row r="79" spans="1:12" ht="46.5" customHeight="1" x14ac:dyDescent="0.25">
      <c r="A79" s="9"/>
      <c r="B79" s="8"/>
      <c r="C79" s="4"/>
      <c r="D79" s="42" t="s">
        <v>223</v>
      </c>
      <c r="E79" s="41"/>
      <c r="F79" s="41">
        <f>2</f>
        <v>2</v>
      </c>
      <c r="G79" s="13" t="s">
        <v>148</v>
      </c>
      <c r="H79" s="41">
        <f>4451/F79</f>
        <v>2225.5</v>
      </c>
      <c r="I79" s="41">
        <f t="shared" si="3"/>
        <v>4451</v>
      </c>
      <c r="J79" s="13" t="s">
        <v>124</v>
      </c>
      <c r="L79" s="2"/>
    </row>
    <row r="80" spans="1:12" ht="46.5" customHeight="1" x14ac:dyDescent="0.25">
      <c r="A80" s="9"/>
      <c r="B80" s="8"/>
      <c r="C80" s="4"/>
      <c r="D80" s="42" t="s">
        <v>161</v>
      </c>
      <c r="E80" s="41"/>
      <c r="F80" s="41">
        <f>4</f>
        <v>4</v>
      </c>
      <c r="G80" s="13" t="s">
        <v>148</v>
      </c>
      <c r="H80" s="41">
        <f>4679.4/F80</f>
        <v>1169.8499999999999</v>
      </c>
      <c r="I80" s="41">
        <f t="shared" ref="I80:I81" si="4">F80*H80</f>
        <v>4679.3999999999996</v>
      </c>
      <c r="J80" s="13" t="s">
        <v>191</v>
      </c>
      <c r="L80" s="2"/>
    </row>
    <row r="81" spans="1:12" ht="46.5" customHeight="1" x14ac:dyDescent="0.25">
      <c r="A81" s="9"/>
      <c r="B81" s="8"/>
      <c r="C81" s="4"/>
      <c r="D81" s="15" t="s">
        <v>135</v>
      </c>
      <c r="E81" s="32"/>
      <c r="F81" s="13">
        <f>12</f>
        <v>12</v>
      </c>
      <c r="G81" s="13" t="s">
        <v>31</v>
      </c>
      <c r="H81" s="33">
        <f>14085.4/F81</f>
        <v>1173.7833333333333</v>
      </c>
      <c r="I81" s="74">
        <f t="shared" si="4"/>
        <v>14085.4</v>
      </c>
      <c r="J81" s="13" t="s">
        <v>120</v>
      </c>
      <c r="L81" s="2"/>
    </row>
    <row r="82" spans="1:12" ht="46.5" customHeight="1" x14ac:dyDescent="0.25">
      <c r="A82" s="9"/>
      <c r="B82" s="8"/>
      <c r="C82" s="4"/>
      <c r="D82" s="15" t="s">
        <v>172</v>
      </c>
      <c r="E82" s="32"/>
      <c r="F82" s="13">
        <f>2</f>
        <v>2</v>
      </c>
      <c r="G82" s="13" t="s">
        <v>31</v>
      </c>
      <c r="H82" s="13">
        <f>3872.6/F82</f>
        <v>1936.3</v>
      </c>
      <c r="I82" s="74">
        <f t="shared" ref="I82" si="5">F82*H82</f>
        <v>3872.6</v>
      </c>
      <c r="J82" s="13" t="s">
        <v>120</v>
      </c>
      <c r="L82" s="2"/>
    </row>
    <row r="83" spans="1:12" ht="46.5" customHeight="1" x14ac:dyDescent="0.25">
      <c r="A83" s="9"/>
      <c r="B83" s="8"/>
      <c r="C83" s="4"/>
      <c r="D83" s="15" t="s">
        <v>224</v>
      </c>
      <c r="E83" s="41"/>
      <c r="F83" s="41">
        <f>2</f>
        <v>2</v>
      </c>
      <c r="G83" s="13" t="s">
        <v>31</v>
      </c>
      <c r="H83" s="41">
        <f>34651.2/F83</f>
        <v>17325.599999999999</v>
      </c>
      <c r="I83" s="73">
        <f>F83*H83</f>
        <v>34651.199999999997</v>
      </c>
      <c r="J83" s="13" t="s">
        <v>124</v>
      </c>
      <c r="L83" s="2"/>
    </row>
    <row r="84" spans="1:12" ht="46.5" customHeight="1" x14ac:dyDescent="0.25">
      <c r="A84" s="9"/>
      <c r="B84" s="8"/>
      <c r="C84" s="4"/>
      <c r="D84" s="15" t="s">
        <v>149</v>
      </c>
      <c r="E84" s="32"/>
      <c r="F84" s="13">
        <f>2</f>
        <v>2</v>
      </c>
      <c r="G84" s="13" t="s">
        <v>31</v>
      </c>
      <c r="H84" s="13">
        <f>13499.6/F84</f>
        <v>6749.8</v>
      </c>
      <c r="I84" s="74">
        <f t="shared" ref="I84:I86" si="6">F84*H84</f>
        <v>13499.6</v>
      </c>
      <c r="J84" s="13" t="s">
        <v>124</v>
      </c>
      <c r="L84" s="2"/>
    </row>
    <row r="85" spans="1:12" ht="46.5" customHeight="1" x14ac:dyDescent="0.25">
      <c r="A85" s="9"/>
      <c r="B85" s="8"/>
      <c r="C85" s="4"/>
      <c r="D85" s="15" t="s">
        <v>229</v>
      </c>
      <c r="E85" s="31"/>
      <c r="F85" s="31">
        <f>2</f>
        <v>2</v>
      </c>
      <c r="G85" s="13" t="s">
        <v>184</v>
      </c>
      <c r="H85" s="31">
        <f>1013.4/F85</f>
        <v>506.7</v>
      </c>
      <c r="I85" s="75">
        <f t="shared" si="6"/>
        <v>1013.4</v>
      </c>
      <c r="J85" s="13"/>
      <c r="L85" s="2"/>
    </row>
    <row r="86" spans="1:12" ht="46.5" customHeight="1" x14ac:dyDescent="0.25">
      <c r="A86" s="9"/>
      <c r="B86" s="8"/>
      <c r="C86" s="4"/>
      <c r="D86" s="15" t="s">
        <v>183</v>
      </c>
      <c r="E86" s="31"/>
      <c r="F86" s="31">
        <f>1</f>
        <v>1</v>
      </c>
      <c r="G86" s="13" t="s">
        <v>184</v>
      </c>
      <c r="H86" s="31">
        <f>914.8/F86</f>
        <v>914.8</v>
      </c>
      <c r="I86" s="75">
        <f t="shared" si="6"/>
        <v>914.8</v>
      </c>
      <c r="J86" s="13"/>
      <c r="L86" s="2"/>
    </row>
    <row r="87" spans="1:12" ht="18.75" x14ac:dyDescent="0.25">
      <c r="A87" s="9" t="s">
        <v>84</v>
      </c>
      <c r="B87" s="8"/>
      <c r="C87" s="4"/>
      <c r="D87" s="15" t="s">
        <v>230</v>
      </c>
      <c r="E87" s="41"/>
      <c r="F87" s="41">
        <f>1+4</f>
        <v>5</v>
      </c>
      <c r="G87" s="13" t="s">
        <v>55</v>
      </c>
      <c r="H87" s="41">
        <f>(1175+4869)/F87</f>
        <v>1208.8</v>
      </c>
      <c r="I87" s="73">
        <f t="shared" si="3"/>
        <v>6044</v>
      </c>
      <c r="J87" s="13" t="s">
        <v>185</v>
      </c>
      <c r="L87" s="2"/>
    </row>
    <row r="88" spans="1:12" ht="18.75" x14ac:dyDescent="0.25">
      <c r="A88" s="9"/>
      <c r="B88" s="8"/>
      <c r="C88" s="4"/>
      <c r="D88" s="15" t="s">
        <v>270</v>
      </c>
      <c r="E88" s="32"/>
      <c r="F88" s="13">
        <f>10</f>
        <v>10</v>
      </c>
      <c r="G88" s="13" t="s">
        <v>31</v>
      </c>
      <c r="H88" s="13">
        <f>668.6/F88</f>
        <v>66.86</v>
      </c>
      <c r="I88" s="74">
        <f>F88*H88</f>
        <v>668.6</v>
      </c>
      <c r="J88" s="13" t="s">
        <v>122</v>
      </c>
      <c r="L88" s="2"/>
    </row>
    <row r="89" spans="1:12" ht="18.75" x14ac:dyDescent="0.25">
      <c r="A89" s="9"/>
      <c r="B89" s="8"/>
      <c r="C89" s="4"/>
      <c r="D89" s="15" t="s">
        <v>253</v>
      </c>
      <c r="E89" s="32"/>
      <c r="F89" s="31">
        <f>30+10</f>
        <v>40</v>
      </c>
      <c r="G89" s="13" t="s">
        <v>31</v>
      </c>
      <c r="H89" s="31">
        <f>(6777.6+7879.6)/F89</f>
        <v>366.43</v>
      </c>
      <c r="I89" s="75">
        <f t="shared" si="3"/>
        <v>14657.2</v>
      </c>
      <c r="J89" s="13" t="s">
        <v>122</v>
      </c>
      <c r="L89" s="2"/>
    </row>
    <row r="90" spans="1:12" ht="18.75" x14ac:dyDescent="0.25">
      <c r="A90" s="9"/>
      <c r="B90" s="8"/>
      <c r="C90" s="4"/>
      <c r="D90" s="15" t="s">
        <v>195</v>
      </c>
      <c r="E90" s="32"/>
      <c r="F90" s="31">
        <v>1</v>
      </c>
      <c r="G90" s="13" t="s">
        <v>31</v>
      </c>
      <c r="H90" s="31">
        <f>3472.4/F90</f>
        <v>3472.4</v>
      </c>
      <c r="I90" s="75">
        <f t="shared" ref="I90" si="7">F90*H90</f>
        <v>3472.4</v>
      </c>
      <c r="J90" s="13" t="s">
        <v>122</v>
      </c>
      <c r="L90" s="2"/>
    </row>
    <row r="91" spans="1:12" ht="31.5" x14ac:dyDescent="0.25">
      <c r="A91" s="9"/>
      <c r="B91" s="8"/>
      <c r="C91" s="4"/>
      <c r="D91" s="15" t="s">
        <v>193</v>
      </c>
      <c r="E91" s="32"/>
      <c r="F91" s="31">
        <f>1</f>
        <v>1</v>
      </c>
      <c r="G91" s="13" t="s">
        <v>31</v>
      </c>
      <c r="H91" s="31">
        <f>2098.8/F91</f>
        <v>2098.8000000000002</v>
      </c>
      <c r="I91" s="75">
        <f>F91*H91</f>
        <v>2098.8000000000002</v>
      </c>
      <c r="J91" s="13" t="s">
        <v>122</v>
      </c>
      <c r="L91" s="2"/>
    </row>
    <row r="92" spans="1:12" ht="31.5" x14ac:dyDescent="0.25">
      <c r="A92" s="9"/>
      <c r="B92" s="8"/>
      <c r="C92" s="4"/>
      <c r="D92" s="15" t="s">
        <v>194</v>
      </c>
      <c r="E92" s="32"/>
      <c r="F92" s="31">
        <f>1</f>
        <v>1</v>
      </c>
      <c r="G92" s="13" t="s">
        <v>31</v>
      </c>
      <c r="H92" s="31">
        <f>16815.4/F92</f>
        <v>16815.400000000001</v>
      </c>
      <c r="I92" s="75">
        <f>F92*H92</f>
        <v>16815.400000000001</v>
      </c>
      <c r="J92" s="13" t="s">
        <v>122</v>
      </c>
      <c r="L92" s="2"/>
    </row>
    <row r="93" spans="1:12" ht="18.75" x14ac:dyDescent="0.25">
      <c r="A93" s="9" t="s">
        <v>20</v>
      </c>
      <c r="B93" s="8"/>
      <c r="C93" s="4"/>
      <c r="D93" s="15" t="s">
        <v>69</v>
      </c>
      <c r="E93" s="41"/>
      <c r="F93" s="41"/>
      <c r="G93" s="13" t="s">
        <v>30</v>
      </c>
      <c r="H93" s="41" t="s">
        <v>143</v>
      </c>
      <c r="I93" s="41" t="s">
        <v>143</v>
      </c>
      <c r="J93" s="13"/>
      <c r="L93" s="2"/>
    </row>
    <row r="94" spans="1:12" ht="31.5" x14ac:dyDescent="0.25">
      <c r="A94" s="9" t="s">
        <v>21</v>
      </c>
      <c r="B94" s="8"/>
      <c r="C94" s="4"/>
      <c r="D94" s="15" t="s">
        <v>71</v>
      </c>
      <c r="E94" s="41"/>
      <c r="F94" s="41"/>
      <c r="G94" s="13" t="s">
        <v>150</v>
      </c>
      <c r="H94" s="41"/>
      <c r="I94" s="41"/>
      <c r="J94" s="13"/>
      <c r="L94" s="2"/>
    </row>
    <row r="95" spans="1:12" ht="18.75" x14ac:dyDescent="0.25">
      <c r="A95" s="46"/>
      <c r="B95" s="47"/>
      <c r="C95" s="22"/>
      <c r="D95" s="30"/>
      <c r="E95" s="44"/>
      <c r="F95" s="44"/>
      <c r="G95" s="31"/>
      <c r="H95" s="41"/>
      <c r="I95" s="45">
        <f>SUM(I73:I94)</f>
        <v>707308.4</v>
      </c>
      <c r="J95" s="13"/>
      <c r="L95" s="2"/>
    </row>
    <row r="96" spans="1:12" ht="18.75" x14ac:dyDescent="0.3">
      <c r="A96" s="63" t="s">
        <v>72</v>
      </c>
      <c r="B96" s="64"/>
      <c r="C96" s="64"/>
      <c r="D96" s="64"/>
      <c r="E96" s="64"/>
      <c r="F96" s="64"/>
      <c r="G96" s="65"/>
      <c r="H96" s="19"/>
      <c r="I96" s="5"/>
      <c r="J96" s="5"/>
      <c r="L96" s="2"/>
    </row>
    <row r="97" spans="1:12" ht="37.5" x14ac:dyDescent="0.25">
      <c r="A97" s="9" t="s">
        <v>93</v>
      </c>
      <c r="B97" s="8"/>
      <c r="C97" s="4"/>
      <c r="D97" s="4" t="s">
        <v>130</v>
      </c>
      <c r="E97" s="31"/>
      <c r="F97" s="13">
        <f>12+21+15+12+8+12+28+17+26+16+12</f>
        <v>179</v>
      </c>
      <c r="G97" s="13" t="s">
        <v>118</v>
      </c>
      <c r="H97" s="33">
        <f>(7580.2+13266.8+9476+7749.6+5167.8+7749.6+18567+11272.8+17242+10944+8209+8209)/F97/3</f>
        <v>233.5824953445065</v>
      </c>
      <c r="I97" s="33">
        <f t="shared" ref="I97" si="8">F97*H97</f>
        <v>41811.266666666663</v>
      </c>
      <c r="J97" s="13" t="s">
        <v>185</v>
      </c>
      <c r="L97" s="2"/>
    </row>
    <row r="98" spans="1:12" ht="31.5" x14ac:dyDescent="0.25">
      <c r="A98" s="9"/>
      <c r="B98" s="8"/>
      <c r="C98" s="4"/>
      <c r="D98" s="15" t="s">
        <v>173</v>
      </c>
      <c r="E98" s="31"/>
      <c r="F98" s="31">
        <f>3.5+9</f>
        <v>12.5</v>
      </c>
      <c r="G98" s="13" t="s">
        <v>30</v>
      </c>
      <c r="H98" s="57">
        <f>(1028.4+2771.6)/F98</f>
        <v>304</v>
      </c>
      <c r="I98" s="75">
        <f t="shared" ref="I98:I108" si="9">F98*H98</f>
        <v>3800</v>
      </c>
      <c r="J98" s="13" t="s">
        <v>122</v>
      </c>
      <c r="L98" s="2"/>
    </row>
    <row r="99" spans="1:12" ht="78.75" x14ac:dyDescent="0.25">
      <c r="A99" s="9"/>
      <c r="B99" s="8"/>
      <c r="C99" s="4"/>
      <c r="D99" s="15" t="s">
        <v>207</v>
      </c>
      <c r="E99" s="31"/>
      <c r="F99" s="31">
        <f>3+8</f>
        <v>11</v>
      </c>
      <c r="G99" s="13" t="s">
        <v>136</v>
      </c>
      <c r="H99" s="57">
        <f>(94+267.6)/F99</f>
        <v>32.872727272727275</v>
      </c>
      <c r="I99" s="75">
        <f t="shared" si="9"/>
        <v>361.6</v>
      </c>
      <c r="J99" s="13" t="s">
        <v>122</v>
      </c>
      <c r="L99" s="2"/>
    </row>
    <row r="100" spans="1:12" ht="47.25" x14ac:dyDescent="0.25">
      <c r="A100" s="9"/>
      <c r="B100" s="8"/>
      <c r="C100" s="4"/>
      <c r="D100" s="15" t="s">
        <v>206</v>
      </c>
      <c r="E100" s="31"/>
      <c r="F100" s="31">
        <f>0.5+8</f>
        <v>8.5</v>
      </c>
      <c r="G100" s="13" t="s">
        <v>30</v>
      </c>
      <c r="H100" s="31">
        <f>(3069.4+7484.2)/F100</f>
        <v>1241.6000000000001</v>
      </c>
      <c r="I100" s="75">
        <f t="shared" si="9"/>
        <v>10553.6</v>
      </c>
      <c r="J100" s="13" t="s">
        <v>122</v>
      </c>
      <c r="L100" s="2"/>
    </row>
    <row r="101" spans="1:12" ht="78.75" x14ac:dyDescent="0.25">
      <c r="A101" s="9"/>
      <c r="B101" s="8"/>
      <c r="C101" s="4"/>
      <c r="D101" s="15" t="s">
        <v>204</v>
      </c>
      <c r="E101" s="31"/>
      <c r="F101" s="31">
        <f>8+2</f>
        <v>10</v>
      </c>
      <c r="G101" s="13" t="s">
        <v>136</v>
      </c>
      <c r="H101" s="57">
        <f>(311.6+82.8)/F101</f>
        <v>39.440000000000005</v>
      </c>
      <c r="I101" s="75">
        <f t="shared" si="9"/>
        <v>394.40000000000003</v>
      </c>
      <c r="J101" s="13" t="s">
        <v>122</v>
      </c>
      <c r="L101" s="2"/>
    </row>
    <row r="102" spans="1:12" ht="47.25" x14ac:dyDescent="0.25">
      <c r="A102" s="9"/>
      <c r="B102" s="8"/>
      <c r="C102" s="4"/>
      <c r="D102" s="15" t="s">
        <v>205</v>
      </c>
      <c r="E102" s="31"/>
      <c r="F102" s="31">
        <f>3+1</f>
        <v>4</v>
      </c>
      <c r="G102" s="13" t="s">
        <v>30</v>
      </c>
      <c r="H102" s="57">
        <f>(1626.4+371.6)/F102</f>
        <v>499.5</v>
      </c>
      <c r="I102" s="75">
        <f t="shared" si="9"/>
        <v>1998</v>
      </c>
      <c r="J102" s="13" t="s">
        <v>122</v>
      </c>
      <c r="L102" s="2"/>
    </row>
    <row r="103" spans="1:12" ht="31.5" x14ac:dyDescent="0.25">
      <c r="A103" s="9"/>
      <c r="B103" s="8"/>
      <c r="C103" s="4"/>
      <c r="D103" s="15" t="s">
        <v>208</v>
      </c>
      <c r="E103" s="31"/>
      <c r="F103" s="31">
        <f>1+4</f>
        <v>5</v>
      </c>
      <c r="G103" s="13" t="s">
        <v>30</v>
      </c>
      <c r="H103" s="57">
        <f>(504+2183)/F103</f>
        <v>537.4</v>
      </c>
      <c r="I103" s="75">
        <f t="shared" si="9"/>
        <v>2687</v>
      </c>
      <c r="J103" s="13" t="s">
        <v>122</v>
      </c>
      <c r="L103" s="2"/>
    </row>
    <row r="104" spans="1:12" ht="78.75" x14ac:dyDescent="0.25">
      <c r="A104" s="9"/>
      <c r="B104" s="8"/>
      <c r="C104" s="4"/>
      <c r="D104" s="15" t="s">
        <v>209</v>
      </c>
      <c r="E104" s="31"/>
      <c r="F104" s="31"/>
      <c r="G104" s="13" t="s">
        <v>136</v>
      </c>
      <c r="H104" s="57"/>
      <c r="I104" s="31"/>
      <c r="J104" s="13"/>
      <c r="L104" s="2"/>
    </row>
    <row r="105" spans="1:12" ht="47.25" x14ac:dyDescent="0.25">
      <c r="A105" s="9"/>
      <c r="B105" s="8"/>
      <c r="C105" s="4"/>
      <c r="D105" s="15" t="s">
        <v>213</v>
      </c>
      <c r="E105" s="31"/>
      <c r="F105" s="31"/>
      <c r="G105" s="13" t="s">
        <v>30</v>
      </c>
      <c r="H105" s="31"/>
      <c r="I105" s="31"/>
      <c r="J105" s="13"/>
      <c r="L105" s="2"/>
    </row>
    <row r="106" spans="1:12" ht="78.75" x14ac:dyDescent="0.25">
      <c r="A106" s="9"/>
      <c r="B106" s="8"/>
      <c r="C106" s="4"/>
      <c r="D106" s="15" t="s">
        <v>174</v>
      </c>
      <c r="E106" s="31"/>
      <c r="F106" s="31">
        <v>5</v>
      </c>
      <c r="G106" s="13" t="s">
        <v>136</v>
      </c>
      <c r="H106" s="57">
        <f>253.2/F106</f>
        <v>50.64</v>
      </c>
      <c r="I106" s="75">
        <f t="shared" si="9"/>
        <v>253.2</v>
      </c>
      <c r="J106" s="13" t="s">
        <v>122</v>
      </c>
      <c r="L106" s="2"/>
    </row>
    <row r="107" spans="1:12" ht="47.25" x14ac:dyDescent="0.25">
      <c r="A107" s="9"/>
      <c r="B107" s="8"/>
      <c r="C107" s="4"/>
      <c r="D107" s="15" t="s">
        <v>254</v>
      </c>
      <c r="E107" s="31"/>
      <c r="F107" s="31">
        <f>4</f>
        <v>4</v>
      </c>
      <c r="G107" s="13" t="s">
        <v>30</v>
      </c>
      <c r="H107" s="31">
        <f>8381/F107</f>
        <v>2095.25</v>
      </c>
      <c r="I107" s="75">
        <f t="shared" si="9"/>
        <v>8381</v>
      </c>
      <c r="J107" s="13" t="s">
        <v>122</v>
      </c>
      <c r="L107" s="2"/>
    </row>
    <row r="108" spans="1:12" ht="47.25" x14ac:dyDescent="0.25">
      <c r="A108" s="9"/>
      <c r="B108" s="8"/>
      <c r="C108" s="4"/>
      <c r="D108" s="15" t="s">
        <v>239</v>
      </c>
      <c r="E108" s="31"/>
      <c r="F108" s="31">
        <v>4</v>
      </c>
      <c r="G108" s="13" t="s">
        <v>31</v>
      </c>
      <c r="H108" s="57">
        <f>(26370.2)/F108</f>
        <v>6592.55</v>
      </c>
      <c r="I108" s="75">
        <f t="shared" si="9"/>
        <v>26370.2</v>
      </c>
      <c r="J108" s="13" t="s">
        <v>122</v>
      </c>
      <c r="L108" s="2"/>
    </row>
    <row r="109" spans="1:12" ht="47.25" x14ac:dyDescent="0.25">
      <c r="A109" s="9"/>
      <c r="B109" s="8"/>
      <c r="C109" s="4"/>
      <c r="D109" s="15" t="s">
        <v>240</v>
      </c>
      <c r="E109" s="31"/>
      <c r="F109" s="31">
        <v>6</v>
      </c>
      <c r="G109" s="13" t="s">
        <v>31</v>
      </c>
      <c r="H109" s="57">
        <f>(39703.8)/F109</f>
        <v>6617.3</v>
      </c>
      <c r="I109" s="75">
        <f t="shared" ref="I109" si="10">F109*H109</f>
        <v>39703.800000000003</v>
      </c>
      <c r="J109" s="13" t="s">
        <v>122</v>
      </c>
      <c r="L109" s="2"/>
    </row>
    <row r="110" spans="1:12" ht="47.25" x14ac:dyDescent="0.25">
      <c r="A110" s="9"/>
      <c r="B110" s="8"/>
      <c r="C110" s="4"/>
      <c r="D110" s="15" t="s">
        <v>175</v>
      </c>
      <c r="E110" s="31"/>
      <c r="F110" s="31">
        <f>8+8+8+4+10+12+4+9+6+6</f>
        <v>75</v>
      </c>
      <c r="G110" s="13" t="s">
        <v>31</v>
      </c>
      <c r="H110" s="57">
        <f>(51594.4+51594.4+52698.4+26348.6+65876.4+80946.6+26981+60707.2+55590.6+41692.8)/F110</f>
        <v>6853.7386666666671</v>
      </c>
      <c r="I110" s="75">
        <f t="shared" ref="I110" si="11">F110*H110</f>
        <v>514030.4</v>
      </c>
      <c r="J110" s="13" t="s">
        <v>225</v>
      </c>
      <c r="L110" s="2"/>
    </row>
    <row r="111" spans="1:12" ht="47.25" x14ac:dyDescent="0.25">
      <c r="A111" s="9"/>
      <c r="B111" s="8"/>
      <c r="C111" s="4"/>
      <c r="D111" s="15" t="s">
        <v>226</v>
      </c>
      <c r="E111" s="31"/>
      <c r="F111" s="31">
        <f>2+6</f>
        <v>8</v>
      </c>
      <c r="G111" s="13" t="s">
        <v>31</v>
      </c>
      <c r="H111" s="31">
        <f>(13637.2+41692.8)/F111</f>
        <v>6916.25</v>
      </c>
      <c r="I111" s="75">
        <f t="shared" ref="I111" si="12">F111*H111</f>
        <v>55330</v>
      </c>
      <c r="J111" s="13" t="s">
        <v>124</v>
      </c>
      <c r="L111" s="2"/>
    </row>
    <row r="112" spans="1:12" ht="31.5" x14ac:dyDescent="0.25">
      <c r="A112" s="9"/>
      <c r="B112" s="8"/>
      <c r="C112" s="4"/>
      <c r="D112" s="15" t="s">
        <v>237</v>
      </c>
      <c r="E112" s="31"/>
      <c r="F112" s="13">
        <f>4</f>
        <v>4</v>
      </c>
      <c r="G112" s="13" t="s">
        <v>30</v>
      </c>
      <c r="H112" s="13">
        <f>4050.4/F112</f>
        <v>1012.6</v>
      </c>
      <c r="I112" s="74">
        <f>F112*H112</f>
        <v>4050.4</v>
      </c>
      <c r="J112" s="13" t="s">
        <v>185</v>
      </c>
      <c r="L112" s="2"/>
    </row>
    <row r="113" spans="1:12" ht="31.5" x14ac:dyDescent="0.25">
      <c r="A113" s="9"/>
      <c r="B113" s="8"/>
      <c r="C113" s="4"/>
      <c r="D113" s="15" t="s">
        <v>151</v>
      </c>
      <c r="E113" s="31"/>
      <c r="F113" s="13">
        <v>10</v>
      </c>
      <c r="G113" s="13" t="s">
        <v>30</v>
      </c>
      <c r="H113" s="13">
        <f>11272/F113</f>
        <v>1127.2</v>
      </c>
      <c r="I113" s="74">
        <f t="shared" ref="I113:I118" si="13">F113*H113</f>
        <v>11272</v>
      </c>
      <c r="J113" s="13" t="s">
        <v>185</v>
      </c>
      <c r="L113" s="2"/>
    </row>
    <row r="114" spans="1:12" ht="31.5" x14ac:dyDescent="0.25">
      <c r="A114" s="9"/>
      <c r="B114" s="8"/>
      <c r="C114" s="4"/>
      <c r="D114" s="15" t="s">
        <v>247</v>
      </c>
      <c r="E114" s="31"/>
      <c r="F114" s="13">
        <f>3</f>
        <v>3</v>
      </c>
      <c r="G114" s="13" t="s">
        <v>30</v>
      </c>
      <c r="H114" s="33">
        <f>4684.4/F114</f>
        <v>1561.4666666666665</v>
      </c>
      <c r="I114" s="74">
        <f t="shared" ref="I114" si="14">F114*H114</f>
        <v>4684.3999999999996</v>
      </c>
      <c r="J114" s="13" t="s">
        <v>185</v>
      </c>
      <c r="L114" s="2"/>
    </row>
    <row r="115" spans="1:12" ht="31.5" x14ac:dyDescent="0.25">
      <c r="A115" s="9"/>
      <c r="B115" s="8"/>
      <c r="C115" s="4"/>
      <c r="D115" s="15" t="s">
        <v>198</v>
      </c>
      <c r="E115" s="31"/>
      <c r="F115" s="13">
        <f>8</f>
        <v>8</v>
      </c>
      <c r="G115" s="13" t="s">
        <v>30</v>
      </c>
      <c r="H115" s="33">
        <f>13040.6/F115</f>
        <v>1630.075</v>
      </c>
      <c r="I115" s="74">
        <f t="shared" si="13"/>
        <v>13040.6</v>
      </c>
      <c r="J115" s="13" t="s">
        <v>185</v>
      </c>
      <c r="L115" s="2"/>
    </row>
    <row r="116" spans="1:12" ht="31.5" x14ac:dyDescent="0.25">
      <c r="A116" s="9"/>
      <c r="B116" s="8"/>
      <c r="C116" s="4"/>
      <c r="D116" s="15" t="s">
        <v>238</v>
      </c>
      <c r="E116" s="31"/>
      <c r="F116" s="13">
        <v>6</v>
      </c>
      <c r="G116" s="13" t="s">
        <v>30</v>
      </c>
      <c r="H116" s="33">
        <f>11582.8/F116</f>
        <v>1930.4666666666665</v>
      </c>
      <c r="I116" s="74">
        <f t="shared" ref="I116" si="15">F116*H116</f>
        <v>11582.8</v>
      </c>
      <c r="J116" s="13"/>
      <c r="L116" s="2"/>
    </row>
    <row r="117" spans="1:12" ht="18.75" x14ac:dyDescent="0.25">
      <c r="A117" s="9"/>
      <c r="B117" s="8"/>
      <c r="C117" s="4"/>
      <c r="D117" s="15" t="s">
        <v>199</v>
      </c>
      <c r="E117" s="31"/>
      <c r="F117" s="31">
        <f>2.4</f>
        <v>2.4</v>
      </c>
      <c r="G117" s="13" t="s">
        <v>157</v>
      </c>
      <c r="H117" s="57">
        <f>7630.6/F117</f>
        <v>3179.416666666667</v>
      </c>
      <c r="I117" s="75">
        <f t="shared" si="13"/>
        <v>7630.6</v>
      </c>
      <c r="J117" s="13" t="s">
        <v>191</v>
      </c>
      <c r="L117" s="2"/>
    </row>
    <row r="118" spans="1:12" ht="18.75" x14ac:dyDescent="0.25">
      <c r="A118" s="9"/>
      <c r="B118" s="8"/>
      <c r="C118" s="4"/>
      <c r="D118" s="15" t="s">
        <v>135</v>
      </c>
      <c r="E118" s="32"/>
      <c r="F118" s="13">
        <v>8</v>
      </c>
      <c r="G118" s="13" t="s">
        <v>31</v>
      </c>
      <c r="H118" s="33">
        <f>9493.6/F118</f>
        <v>1186.7</v>
      </c>
      <c r="I118" s="74">
        <f t="shared" si="13"/>
        <v>9493.6</v>
      </c>
      <c r="J118" s="13"/>
      <c r="L118" s="2"/>
    </row>
    <row r="119" spans="1:12" ht="18.75" x14ac:dyDescent="0.25">
      <c r="A119" s="9" t="s">
        <v>84</v>
      </c>
      <c r="B119" s="8"/>
      <c r="C119" s="4"/>
      <c r="D119" s="15" t="s">
        <v>70</v>
      </c>
      <c r="E119" s="41"/>
      <c r="F119" s="41"/>
      <c r="G119" s="13" t="s">
        <v>55</v>
      </c>
      <c r="H119" s="41"/>
      <c r="I119" s="41" t="s">
        <v>143</v>
      </c>
      <c r="J119" s="5"/>
      <c r="L119" s="2"/>
    </row>
    <row r="120" spans="1:12" ht="31.5" x14ac:dyDescent="0.25">
      <c r="A120" s="9"/>
      <c r="B120" s="8"/>
      <c r="C120" s="4"/>
      <c r="D120" s="15" t="s">
        <v>202</v>
      </c>
      <c r="E120" s="41"/>
      <c r="F120" s="41">
        <v>1</v>
      </c>
      <c r="G120" s="13" t="s">
        <v>150</v>
      </c>
      <c r="H120" s="41">
        <f>15450</f>
        <v>15450</v>
      </c>
      <c r="I120" s="73">
        <f>F120*H120</f>
        <v>15450</v>
      </c>
      <c r="J120" s="13" t="s">
        <v>122</v>
      </c>
      <c r="L120" s="2"/>
    </row>
    <row r="121" spans="1:12" ht="18.75" x14ac:dyDescent="0.25">
      <c r="A121" s="9"/>
      <c r="B121" s="8"/>
      <c r="C121" s="4"/>
      <c r="D121" s="15" t="s">
        <v>203</v>
      </c>
      <c r="E121" s="41"/>
      <c r="F121" s="41">
        <v>1</v>
      </c>
      <c r="G121" s="13" t="s">
        <v>150</v>
      </c>
      <c r="H121" s="41">
        <v>52000</v>
      </c>
      <c r="I121" s="73">
        <f>F121*H121</f>
        <v>52000</v>
      </c>
      <c r="J121" s="13"/>
      <c r="L121" s="2"/>
    </row>
    <row r="122" spans="1:12" ht="18.75" x14ac:dyDescent="0.25">
      <c r="A122" s="9"/>
      <c r="B122" s="8"/>
      <c r="C122" s="4"/>
      <c r="D122" s="15" t="s">
        <v>182</v>
      </c>
      <c r="E122" s="41"/>
      <c r="F122" s="41">
        <v>4</v>
      </c>
      <c r="G122" s="13" t="s">
        <v>31</v>
      </c>
      <c r="H122" s="41">
        <f>8466/F122</f>
        <v>2116.5</v>
      </c>
      <c r="I122" s="73">
        <f>F122*H122</f>
        <v>8466</v>
      </c>
      <c r="J122" s="13"/>
      <c r="L122" s="2"/>
    </row>
    <row r="123" spans="1:12" ht="18.75" x14ac:dyDescent="0.25">
      <c r="A123" s="9"/>
      <c r="B123" s="8"/>
      <c r="C123" s="4"/>
      <c r="D123" s="15" t="s">
        <v>231</v>
      </c>
      <c r="E123" s="41"/>
      <c r="F123" s="41">
        <f>2</f>
        <v>2</v>
      </c>
      <c r="G123" s="13" t="s">
        <v>31</v>
      </c>
      <c r="H123" s="41">
        <f>43151.4/F123</f>
        <v>21575.7</v>
      </c>
      <c r="I123" s="73">
        <f>F123*H123+10709.2</f>
        <v>53860.600000000006</v>
      </c>
      <c r="J123" s="13"/>
      <c r="L123" s="2"/>
    </row>
    <row r="124" spans="1:12" ht="18.75" x14ac:dyDescent="0.25">
      <c r="A124" s="9"/>
      <c r="B124" s="8"/>
      <c r="C124" s="4"/>
      <c r="D124" s="15" t="s">
        <v>248</v>
      </c>
      <c r="E124" s="41"/>
      <c r="F124" s="41">
        <f>8+4+4+13+4+4+8+6</f>
        <v>51</v>
      </c>
      <c r="G124" s="13" t="s">
        <v>55</v>
      </c>
      <c r="H124" s="45">
        <f>(10609.6+5387.4+5387.4+17810+5096.6+5650+10086.4+8476)/F124</f>
        <v>1343.2039215686273</v>
      </c>
      <c r="I124" s="73">
        <f t="shared" ref="I124" si="16">F124*H124</f>
        <v>68503.399999999994</v>
      </c>
      <c r="J124" s="13" t="s">
        <v>122</v>
      </c>
      <c r="L124" s="2"/>
    </row>
    <row r="125" spans="1:12" ht="18.75" x14ac:dyDescent="0.25">
      <c r="A125" s="9"/>
      <c r="B125" s="8"/>
      <c r="C125" s="4"/>
      <c r="D125" s="15" t="s">
        <v>260</v>
      </c>
      <c r="E125" s="41"/>
      <c r="F125" s="41">
        <f>1</f>
        <v>1</v>
      </c>
      <c r="G125" s="13" t="s">
        <v>31</v>
      </c>
      <c r="H125" s="45">
        <f>2731.4/F125</f>
        <v>2731.4</v>
      </c>
      <c r="I125" s="73">
        <f>F125*H125</f>
        <v>2731.4</v>
      </c>
      <c r="J125" s="13" t="s">
        <v>122</v>
      </c>
      <c r="L125" s="2"/>
    </row>
    <row r="126" spans="1:12" ht="18.75" x14ac:dyDescent="0.25">
      <c r="A126" s="9"/>
      <c r="B126" s="8"/>
      <c r="C126" s="4"/>
      <c r="D126" s="15" t="s">
        <v>261</v>
      </c>
      <c r="E126" s="41"/>
      <c r="F126" s="41">
        <f>1</f>
        <v>1</v>
      </c>
      <c r="G126" s="13" t="s">
        <v>31</v>
      </c>
      <c r="H126" s="45">
        <f>183294.6</f>
        <v>183294.6</v>
      </c>
      <c r="I126" s="73">
        <f>F126*H126</f>
        <v>183294.6</v>
      </c>
      <c r="J126" s="13" t="s">
        <v>122</v>
      </c>
      <c r="L126" s="2"/>
    </row>
    <row r="127" spans="1:12" ht="18.75" x14ac:dyDescent="0.25">
      <c r="A127" s="9"/>
      <c r="B127" s="8"/>
      <c r="C127" s="4"/>
      <c r="D127" s="15" t="s">
        <v>262</v>
      </c>
      <c r="E127" s="41"/>
      <c r="F127" s="41">
        <f>1</f>
        <v>1</v>
      </c>
      <c r="G127" s="13" t="s">
        <v>31</v>
      </c>
      <c r="H127" s="45">
        <f>2221.4/F127</f>
        <v>2221.4</v>
      </c>
      <c r="I127" s="73">
        <f>F127*H127</f>
        <v>2221.4</v>
      </c>
      <c r="J127" s="13" t="s">
        <v>122</v>
      </c>
      <c r="L127" s="2"/>
    </row>
    <row r="128" spans="1:12" ht="18.75" x14ac:dyDescent="0.25">
      <c r="A128" s="9"/>
      <c r="B128" s="8"/>
      <c r="C128" s="4"/>
      <c r="D128" s="42" t="s">
        <v>192</v>
      </c>
      <c r="E128" s="41"/>
      <c r="F128" s="41">
        <v>6</v>
      </c>
      <c r="G128" s="13" t="s">
        <v>148</v>
      </c>
      <c r="H128" s="45">
        <f>7016.6/F128</f>
        <v>1169.4333333333334</v>
      </c>
      <c r="I128" s="89">
        <f t="shared" ref="I128" si="17">F128*H128</f>
        <v>7016.6</v>
      </c>
      <c r="J128" s="13" t="s">
        <v>191</v>
      </c>
      <c r="L128" s="2"/>
    </row>
    <row r="129" spans="1:12" ht="31.5" x14ac:dyDescent="0.25">
      <c r="A129" s="9" t="s">
        <v>21</v>
      </c>
      <c r="B129" s="8"/>
      <c r="C129" s="4"/>
      <c r="D129" s="15" t="s">
        <v>71</v>
      </c>
      <c r="E129" s="41"/>
      <c r="F129" s="41"/>
      <c r="G129" s="13" t="s">
        <v>150</v>
      </c>
      <c r="H129" s="41"/>
      <c r="I129" s="41"/>
      <c r="J129" s="13"/>
      <c r="L129" s="2"/>
    </row>
    <row r="130" spans="1:12" ht="18.75" x14ac:dyDescent="0.25">
      <c r="A130" s="46"/>
      <c r="B130" s="47"/>
      <c r="C130" s="22"/>
      <c r="D130" s="30"/>
      <c r="E130" s="44"/>
      <c r="F130" s="44"/>
      <c r="G130" s="31"/>
      <c r="H130" s="41"/>
      <c r="I130" s="45">
        <f>SUM(I97:I129)</f>
        <v>1160972.8666666667</v>
      </c>
      <c r="J130" s="13"/>
      <c r="L130" s="2"/>
    </row>
    <row r="131" spans="1:12" ht="18.75" x14ac:dyDescent="0.3">
      <c r="A131" s="63" t="s">
        <v>73</v>
      </c>
      <c r="B131" s="64"/>
      <c r="C131" s="64"/>
      <c r="D131" s="64"/>
      <c r="E131" s="64"/>
      <c r="F131" s="64"/>
      <c r="G131" s="65"/>
      <c r="H131" s="13"/>
      <c r="I131" s="5"/>
      <c r="J131" s="5"/>
      <c r="L131" s="2"/>
    </row>
    <row r="132" spans="1:12" ht="37.5" x14ac:dyDescent="0.25">
      <c r="A132" s="9" t="s">
        <v>93</v>
      </c>
      <c r="B132" s="8"/>
      <c r="C132" s="4"/>
      <c r="D132" s="4" t="s">
        <v>131</v>
      </c>
      <c r="E132" s="31"/>
      <c r="F132" s="13">
        <f>12+21+15+12+8+12+28+17+26+16+12</f>
        <v>179</v>
      </c>
      <c r="G132" s="13" t="s">
        <v>118</v>
      </c>
      <c r="H132" s="33">
        <f>(7580.2+13266.8+9476+7749.6+5167.8+7749.6+18567+11272.8+17242+10944+8209+8209)/F132/3</f>
        <v>233.5824953445065</v>
      </c>
      <c r="I132" s="33">
        <f t="shared" ref="I132" si="18">F132*H132</f>
        <v>41811.266666666663</v>
      </c>
      <c r="J132" s="13" t="s">
        <v>185</v>
      </c>
      <c r="L132" s="2"/>
    </row>
    <row r="133" spans="1:12" ht="18.75" x14ac:dyDescent="0.25">
      <c r="A133" s="9"/>
      <c r="B133" s="8"/>
      <c r="C133" s="4"/>
      <c r="D133" s="15" t="s">
        <v>160</v>
      </c>
      <c r="E133" s="41"/>
      <c r="F133" s="41">
        <v>1</v>
      </c>
      <c r="G133" s="13" t="s">
        <v>31</v>
      </c>
      <c r="H133" s="41">
        <f>1319.6/F133</f>
        <v>1319.6</v>
      </c>
      <c r="I133" s="41">
        <f>F133*H133</f>
        <v>1319.6</v>
      </c>
      <c r="J133" s="13" t="s">
        <v>122</v>
      </c>
      <c r="L133" s="2"/>
    </row>
    <row r="134" spans="1:12" ht="78.75" x14ac:dyDescent="0.25">
      <c r="A134" s="9"/>
      <c r="B134" s="8"/>
      <c r="C134" s="4"/>
      <c r="D134" s="15" t="s">
        <v>174</v>
      </c>
      <c r="E134" s="31"/>
      <c r="F134" s="31"/>
      <c r="G134" s="13" t="s">
        <v>136</v>
      </c>
      <c r="H134" s="31"/>
      <c r="I134" s="31"/>
      <c r="J134" s="13"/>
      <c r="L134" s="2"/>
    </row>
    <row r="135" spans="1:12" ht="47.25" x14ac:dyDescent="0.25">
      <c r="A135" s="9"/>
      <c r="B135" s="8"/>
      <c r="C135" s="4"/>
      <c r="D135" s="15" t="s">
        <v>152</v>
      </c>
      <c r="E135" s="31"/>
      <c r="F135" s="31"/>
      <c r="G135" s="13" t="s">
        <v>30</v>
      </c>
      <c r="H135" s="31"/>
      <c r="I135" s="31"/>
      <c r="J135" s="13"/>
      <c r="L135" s="2"/>
    </row>
    <row r="136" spans="1:12" ht="47.25" x14ac:dyDescent="0.25">
      <c r="A136" s="9"/>
      <c r="B136" s="8"/>
      <c r="C136" s="4"/>
      <c r="D136" s="15" t="s">
        <v>175</v>
      </c>
      <c r="E136" s="31"/>
      <c r="F136" s="31"/>
      <c r="G136" s="13" t="s">
        <v>31</v>
      </c>
      <c r="H136" s="31"/>
      <c r="I136" s="31"/>
      <c r="J136" s="13"/>
      <c r="L136" s="2"/>
    </row>
    <row r="137" spans="1:12" ht="18.75" x14ac:dyDescent="0.25">
      <c r="A137" s="9"/>
      <c r="B137" s="8"/>
      <c r="C137" s="4"/>
      <c r="D137" s="15" t="s">
        <v>182</v>
      </c>
      <c r="E137" s="31"/>
      <c r="F137" s="31"/>
      <c r="G137" s="13" t="s">
        <v>31</v>
      </c>
      <c r="H137" s="31"/>
      <c r="I137" s="31"/>
      <c r="J137" s="13"/>
      <c r="L137" s="2"/>
    </row>
    <row r="138" spans="1:12" ht="18.75" x14ac:dyDescent="0.25">
      <c r="A138" s="9"/>
      <c r="B138" s="8"/>
      <c r="C138" s="4"/>
      <c r="D138" s="15" t="s">
        <v>183</v>
      </c>
      <c r="E138" s="31"/>
      <c r="F138" s="31"/>
      <c r="G138" s="13" t="s">
        <v>184</v>
      </c>
      <c r="H138" s="31"/>
      <c r="I138" s="31"/>
      <c r="J138" s="13"/>
      <c r="L138" s="2"/>
    </row>
    <row r="139" spans="1:12" ht="18.75" x14ac:dyDescent="0.25">
      <c r="A139" s="9" t="s">
        <v>84</v>
      </c>
      <c r="B139" s="8"/>
      <c r="C139" s="4"/>
      <c r="D139" s="15" t="s">
        <v>70</v>
      </c>
      <c r="E139" s="41" t="s">
        <v>143</v>
      </c>
      <c r="F139" s="41" t="s">
        <v>143</v>
      </c>
      <c r="G139" s="14" t="s">
        <v>55</v>
      </c>
      <c r="H139" s="41" t="s">
        <v>143</v>
      </c>
      <c r="I139" s="41" t="s">
        <v>143</v>
      </c>
      <c r="J139" s="5"/>
      <c r="L139" s="2"/>
    </row>
    <row r="140" spans="1:12" ht="18.75" x14ac:dyDescent="0.25">
      <c r="A140" s="9"/>
      <c r="B140" s="8"/>
      <c r="C140" s="4"/>
      <c r="D140" s="15" t="s">
        <v>233</v>
      </c>
      <c r="E140" s="41"/>
      <c r="F140" s="41">
        <f>1</f>
        <v>1</v>
      </c>
      <c r="G140" s="14" t="s">
        <v>31</v>
      </c>
      <c r="H140" s="41">
        <f>1073.6/F140</f>
        <v>1073.5999999999999</v>
      </c>
      <c r="I140" s="73">
        <f>F140*H140</f>
        <v>1073.5999999999999</v>
      </c>
      <c r="J140" s="5"/>
      <c r="L140" s="2"/>
    </row>
    <row r="141" spans="1:12" ht="18.75" x14ac:dyDescent="0.25">
      <c r="A141" s="9"/>
      <c r="B141" s="8"/>
      <c r="C141" s="4"/>
      <c r="D141" s="15" t="s">
        <v>200</v>
      </c>
      <c r="E141" s="41"/>
      <c r="F141" s="41">
        <f>2</f>
        <v>2</v>
      </c>
      <c r="G141" s="14" t="s">
        <v>31</v>
      </c>
      <c r="H141" s="41">
        <f>2300/F141</f>
        <v>1150</v>
      </c>
      <c r="I141" s="41">
        <f>F141*H141</f>
        <v>2300</v>
      </c>
      <c r="J141" s="13" t="s">
        <v>122</v>
      </c>
      <c r="L141" s="2"/>
    </row>
    <row r="142" spans="1:12" ht="18.75" x14ac:dyDescent="0.25">
      <c r="A142" s="9"/>
      <c r="B142" s="8"/>
      <c r="C142" s="4"/>
      <c r="D142" s="15" t="s">
        <v>263</v>
      </c>
      <c r="E142" s="41"/>
      <c r="F142" s="41">
        <f>3+1+1</f>
        <v>5</v>
      </c>
      <c r="G142" s="14" t="s">
        <v>31</v>
      </c>
      <c r="H142" s="90">
        <f>(14674+2171.6+6359.6)/F142</f>
        <v>4641.0399999999991</v>
      </c>
      <c r="I142" s="73">
        <f>F142*H142</f>
        <v>23205.199999999997</v>
      </c>
      <c r="J142" s="13" t="s">
        <v>122</v>
      </c>
      <c r="L142" s="2"/>
    </row>
    <row r="143" spans="1:12" ht="18.75" x14ac:dyDescent="0.25">
      <c r="A143" s="9"/>
      <c r="B143" s="8"/>
      <c r="C143" s="4"/>
      <c r="D143" s="15" t="s">
        <v>264</v>
      </c>
      <c r="E143" s="41"/>
      <c r="F143" s="41">
        <f>2</f>
        <v>2</v>
      </c>
      <c r="G143" s="14" t="s">
        <v>31</v>
      </c>
      <c r="H143" s="41">
        <f>2830/F143</f>
        <v>1415</v>
      </c>
      <c r="I143" s="73">
        <f>F143*H143</f>
        <v>2830</v>
      </c>
      <c r="J143" s="13" t="s">
        <v>122</v>
      </c>
      <c r="L143" s="2"/>
    </row>
    <row r="144" spans="1:12" ht="18.75" x14ac:dyDescent="0.25">
      <c r="A144" s="9"/>
      <c r="B144" s="8"/>
      <c r="C144" s="4"/>
      <c r="D144" s="15" t="s">
        <v>265</v>
      </c>
      <c r="E144" s="41"/>
      <c r="F144" s="41">
        <v>3</v>
      </c>
      <c r="G144" s="14" t="s">
        <v>31</v>
      </c>
      <c r="H144" s="45">
        <f>1617.2/F144</f>
        <v>539.06666666666672</v>
      </c>
      <c r="I144" s="73">
        <f>F144*H144</f>
        <v>1617.2000000000003</v>
      </c>
      <c r="J144" s="13" t="s">
        <v>122</v>
      </c>
      <c r="L144" s="2"/>
    </row>
    <row r="145" spans="1:12" ht="31.5" x14ac:dyDescent="0.25">
      <c r="A145" s="9" t="s">
        <v>21</v>
      </c>
      <c r="B145" s="8"/>
      <c r="C145" s="4"/>
      <c r="D145" s="15" t="s">
        <v>71</v>
      </c>
      <c r="E145" s="41" t="s">
        <v>143</v>
      </c>
      <c r="F145" s="41" t="s">
        <v>143</v>
      </c>
      <c r="G145" s="14" t="s">
        <v>55</v>
      </c>
      <c r="H145" s="41" t="s">
        <v>143</v>
      </c>
      <c r="I145" s="41" t="s">
        <v>143</v>
      </c>
      <c r="J145" s="13" t="s">
        <v>122</v>
      </c>
      <c r="L145" s="2"/>
    </row>
    <row r="146" spans="1:12" ht="18.75" x14ac:dyDescent="0.25">
      <c r="A146" s="46"/>
      <c r="B146" s="47"/>
      <c r="C146" s="22"/>
      <c r="D146" s="30"/>
      <c r="E146" s="44"/>
      <c r="F146" s="44"/>
      <c r="G146" s="12"/>
      <c r="H146" s="41"/>
      <c r="I146" s="45">
        <f>SUM(I132:I145)</f>
        <v>74156.866666666654</v>
      </c>
      <c r="J146" s="5"/>
      <c r="L146" s="2"/>
    </row>
    <row r="147" spans="1:12" ht="18.75" x14ac:dyDescent="0.3">
      <c r="A147" s="63" t="s">
        <v>74</v>
      </c>
      <c r="B147" s="64"/>
      <c r="C147" s="64"/>
      <c r="D147" s="64"/>
      <c r="E147" s="64"/>
      <c r="F147" s="64"/>
      <c r="G147" s="65"/>
      <c r="H147" s="19"/>
      <c r="I147" s="5"/>
      <c r="J147" s="5"/>
      <c r="L147" s="2"/>
    </row>
    <row r="148" spans="1:12" ht="37.5" x14ac:dyDescent="0.25">
      <c r="A148" s="9" t="s">
        <v>99</v>
      </c>
      <c r="B148" s="8"/>
      <c r="C148" s="4"/>
      <c r="D148" s="4" t="s">
        <v>132</v>
      </c>
      <c r="E148" s="31"/>
      <c r="F148" s="13">
        <f>12+21+15+12+8+12+28+17+26+16+12</f>
        <v>179</v>
      </c>
      <c r="G148" s="13" t="s">
        <v>118</v>
      </c>
      <c r="H148" s="33">
        <f>(7580.2+13266.8+9476+7749.6+5167.8+7749.6+18567+11272.8+17242+10944+8209+8209)/F148/3</f>
        <v>233.5824953445065</v>
      </c>
      <c r="I148" s="33">
        <f t="shared" ref="I148:I153" si="19">F148*H148</f>
        <v>41811.266666666663</v>
      </c>
      <c r="J148" s="13" t="s">
        <v>185</v>
      </c>
      <c r="L148" s="2"/>
    </row>
    <row r="149" spans="1:12" ht="31.5" x14ac:dyDescent="0.25">
      <c r="A149" s="9"/>
      <c r="B149" s="8"/>
      <c r="C149" s="4"/>
      <c r="D149" s="15" t="s">
        <v>123</v>
      </c>
      <c r="E149" s="41"/>
      <c r="F149" s="41">
        <f>1+1</f>
        <v>2</v>
      </c>
      <c r="G149" s="13" t="s">
        <v>30</v>
      </c>
      <c r="H149" s="41">
        <f>(1210.8+2025)/F149</f>
        <v>1617.9</v>
      </c>
      <c r="I149" s="73">
        <f t="shared" si="19"/>
        <v>3235.8</v>
      </c>
      <c r="J149" s="13" t="s">
        <v>122</v>
      </c>
      <c r="L149" s="2"/>
    </row>
    <row r="150" spans="1:12" ht="18.75" x14ac:dyDescent="0.25">
      <c r="A150" s="9"/>
      <c r="B150" s="8"/>
      <c r="C150" s="4"/>
      <c r="D150" s="4" t="s">
        <v>163</v>
      </c>
      <c r="E150" s="41"/>
      <c r="F150" s="41">
        <f>12+2+175+200+140+48+40+20</f>
        <v>637</v>
      </c>
      <c r="G150" s="13" t="s">
        <v>140</v>
      </c>
      <c r="H150" s="45">
        <f>(1055.6+1198.8+10502.6+12003.8+8621.8+2957.4+2465+1269.2)/F150</f>
        <v>62.910832025117735</v>
      </c>
      <c r="I150" s="41">
        <f t="shared" si="19"/>
        <v>40074.199999999997</v>
      </c>
      <c r="J150" s="13" t="s">
        <v>162</v>
      </c>
      <c r="L150" s="2"/>
    </row>
    <row r="151" spans="1:12" ht="18.75" x14ac:dyDescent="0.25">
      <c r="A151" s="9"/>
      <c r="B151" s="8"/>
      <c r="C151" s="4"/>
      <c r="D151" s="4" t="s">
        <v>164</v>
      </c>
      <c r="E151" s="41"/>
      <c r="F151" s="41"/>
      <c r="G151" s="13" t="s">
        <v>140</v>
      </c>
      <c r="H151" s="41"/>
      <c r="I151" s="41"/>
      <c r="J151" s="13"/>
      <c r="L151" s="2"/>
    </row>
    <row r="152" spans="1:12" ht="18.75" x14ac:dyDescent="0.25">
      <c r="A152" s="9"/>
      <c r="B152" s="8"/>
      <c r="C152" s="4"/>
      <c r="D152" s="4" t="s">
        <v>117</v>
      </c>
      <c r="E152" s="41"/>
      <c r="F152" s="41">
        <f>15+8+6+15+12+6+6+8+10+12+6+10</f>
        <v>114</v>
      </c>
      <c r="G152" s="13" t="s">
        <v>30</v>
      </c>
      <c r="H152" s="45">
        <f>(4517.4+2408.6+1805.6+4615.8+3693+1844.4+1897.2+2532.4+3165.8+3911+1954.4+3261.6)/F152</f>
        <v>312.34385964912286</v>
      </c>
      <c r="I152" s="41">
        <f t="shared" si="19"/>
        <v>35607.200000000004</v>
      </c>
      <c r="J152" s="13" t="s">
        <v>185</v>
      </c>
      <c r="L152" s="2"/>
    </row>
    <row r="153" spans="1:12" ht="18.75" x14ac:dyDescent="0.25">
      <c r="A153" s="9"/>
      <c r="B153" s="8"/>
      <c r="C153" s="4"/>
      <c r="D153" s="4" t="s">
        <v>201</v>
      </c>
      <c r="E153" s="41"/>
      <c r="F153" s="41">
        <v>3</v>
      </c>
      <c r="G153" s="13" t="s">
        <v>30</v>
      </c>
      <c r="H153" s="45">
        <f>(2929.8)/F153</f>
        <v>976.6</v>
      </c>
      <c r="I153" s="41">
        <f t="shared" si="19"/>
        <v>2929.8</v>
      </c>
      <c r="J153" s="13" t="s">
        <v>185</v>
      </c>
      <c r="L153" s="2"/>
    </row>
    <row r="154" spans="1:12" ht="18.75" x14ac:dyDescent="0.25">
      <c r="A154" s="9"/>
      <c r="B154" s="8"/>
      <c r="C154" s="4"/>
      <c r="D154" s="4" t="s">
        <v>171</v>
      </c>
      <c r="E154" s="41"/>
      <c r="F154" s="41"/>
      <c r="G154" s="13" t="s">
        <v>31</v>
      </c>
      <c r="H154" s="41"/>
      <c r="I154" s="41"/>
      <c r="J154" s="13"/>
      <c r="L154" s="2"/>
    </row>
    <row r="155" spans="1:12" ht="18.75" x14ac:dyDescent="0.25">
      <c r="A155" s="9" t="s">
        <v>22</v>
      </c>
      <c r="B155" s="8"/>
      <c r="C155" s="4"/>
      <c r="D155" s="4" t="s">
        <v>77</v>
      </c>
      <c r="E155" s="41" t="s">
        <v>143</v>
      </c>
      <c r="F155" s="41" t="s">
        <v>143</v>
      </c>
      <c r="G155" s="13" t="s">
        <v>30</v>
      </c>
      <c r="H155" s="41" t="s">
        <v>143</v>
      </c>
      <c r="I155" s="41" t="s">
        <v>143</v>
      </c>
      <c r="J155" s="5"/>
      <c r="L155" s="2"/>
    </row>
    <row r="156" spans="1:12" ht="18.75" x14ac:dyDescent="0.25">
      <c r="A156" s="46"/>
      <c r="B156" s="47"/>
      <c r="C156" s="22"/>
      <c r="D156" s="22"/>
      <c r="E156" s="44"/>
      <c r="F156" s="44"/>
      <c r="G156" s="31"/>
      <c r="H156" s="41"/>
      <c r="I156" s="45">
        <f>SUM(I148:I155)</f>
        <v>123658.26666666668</v>
      </c>
      <c r="J156" s="5"/>
      <c r="L156" s="2"/>
    </row>
    <row r="157" spans="1:12" ht="18.75" x14ac:dyDescent="0.3">
      <c r="A157" s="63" t="s">
        <v>79</v>
      </c>
      <c r="B157" s="64"/>
      <c r="C157" s="64"/>
      <c r="D157" s="64"/>
      <c r="E157" s="64"/>
      <c r="F157" s="64"/>
      <c r="G157" s="65"/>
      <c r="H157" s="5"/>
      <c r="I157" s="5"/>
      <c r="J157" s="5"/>
      <c r="L157" s="2"/>
    </row>
    <row r="158" spans="1:12" ht="38.25" customHeight="1" x14ac:dyDescent="0.25">
      <c r="A158" s="9" t="s">
        <v>23</v>
      </c>
      <c r="B158" s="5"/>
      <c r="C158" s="4"/>
      <c r="D158" s="15" t="s">
        <v>146</v>
      </c>
      <c r="E158" s="41" t="s">
        <v>143</v>
      </c>
      <c r="F158" s="41">
        <f>2</f>
        <v>2</v>
      </c>
      <c r="G158" s="13" t="s">
        <v>55</v>
      </c>
      <c r="H158" s="41">
        <f>10974.8/F158</f>
        <v>5487.4</v>
      </c>
      <c r="I158" s="89">
        <f>F158*H158</f>
        <v>10974.8</v>
      </c>
      <c r="J158" s="13" t="s">
        <v>124</v>
      </c>
      <c r="L158" s="2"/>
    </row>
    <row r="159" spans="1:12" ht="18.75" x14ac:dyDescent="0.25">
      <c r="A159" s="9" t="s">
        <v>24</v>
      </c>
      <c r="B159" s="5"/>
      <c r="C159" s="4"/>
      <c r="D159" s="4" t="s">
        <v>78</v>
      </c>
      <c r="E159" s="41" t="s">
        <v>143</v>
      </c>
      <c r="F159" s="41" t="s">
        <v>143</v>
      </c>
      <c r="G159" s="13" t="s">
        <v>55</v>
      </c>
      <c r="H159" s="41" t="s">
        <v>143</v>
      </c>
      <c r="I159" s="41" t="s">
        <v>143</v>
      </c>
      <c r="J159" s="13"/>
      <c r="L159" s="2"/>
    </row>
    <row r="160" spans="1:12" ht="31.5" x14ac:dyDescent="0.25">
      <c r="A160" s="9" t="s">
        <v>128</v>
      </c>
      <c r="B160" s="5"/>
      <c r="C160" s="4"/>
      <c r="D160" s="15" t="s">
        <v>271</v>
      </c>
      <c r="E160" s="41" t="s">
        <v>143</v>
      </c>
      <c r="F160" s="41">
        <f>1</f>
        <v>1</v>
      </c>
      <c r="G160" s="13" t="s">
        <v>55</v>
      </c>
      <c r="H160" s="41">
        <f>5430.6/F160</f>
        <v>5430.6</v>
      </c>
      <c r="I160" s="73">
        <f>F160*H160</f>
        <v>5430.6</v>
      </c>
      <c r="J160" s="13" t="s">
        <v>122</v>
      </c>
      <c r="L160" s="2"/>
    </row>
    <row r="161" spans="1:12" ht="31.5" x14ac:dyDescent="0.25">
      <c r="A161" s="9"/>
      <c r="B161" s="5"/>
      <c r="C161" s="4"/>
      <c r="D161" s="15" t="s">
        <v>156</v>
      </c>
      <c r="E161" s="31"/>
      <c r="F161" s="13">
        <f>45</f>
        <v>45</v>
      </c>
      <c r="G161" s="13" t="s">
        <v>157</v>
      </c>
      <c r="H161" s="33">
        <f>11205.4/F161</f>
        <v>249.00888888888889</v>
      </c>
      <c r="I161" s="74">
        <f t="shared" ref="I161:I171" si="20">F161*H161</f>
        <v>11205.4</v>
      </c>
      <c r="J161" s="13" t="s">
        <v>120</v>
      </c>
      <c r="L161" s="2"/>
    </row>
    <row r="162" spans="1:12" ht="18.75" x14ac:dyDescent="0.25">
      <c r="A162" s="9"/>
      <c r="B162" s="5"/>
      <c r="C162" s="4"/>
      <c r="D162" s="15" t="s">
        <v>176</v>
      </c>
      <c r="E162" s="31"/>
      <c r="F162" s="13">
        <f>2+1</f>
        <v>3</v>
      </c>
      <c r="G162" s="13" t="s">
        <v>31</v>
      </c>
      <c r="H162" s="13">
        <f>(1693.4+1174.6)/F162</f>
        <v>956</v>
      </c>
      <c r="I162" s="74">
        <f>F162*H162</f>
        <v>2868</v>
      </c>
      <c r="J162" s="13" t="s">
        <v>120</v>
      </c>
      <c r="L162" s="2"/>
    </row>
    <row r="163" spans="1:12" ht="18.75" x14ac:dyDescent="0.25">
      <c r="A163" s="9"/>
      <c r="B163" s="5"/>
      <c r="C163" s="4"/>
      <c r="D163" s="15" t="s">
        <v>214</v>
      </c>
      <c r="E163" s="31"/>
      <c r="F163" s="13">
        <f>21</f>
        <v>21</v>
      </c>
      <c r="G163" s="13" t="s">
        <v>31</v>
      </c>
      <c r="H163" s="13">
        <f>(4247.6+2338)/F163</f>
        <v>313.60000000000002</v>
      </c>
      <c r="I163" s="74">
        <f>F163*H163</f>
        <v>6585.6</v>
      </c>
      <c r="J163" s="13" t="s">
        <v>225</v>
      </c>
      <c r="L163" s="2"/>
    </row>
    <row r="164" spans="1:12" ht="18.75" x14ac:dyDescent="0.25">
      <c r="A164" s="9"/>
      <c r="B164" s="5"/>
      <c r="C164" s="4"/>
      <c r="D164" s="15" t="s">
        <v>215</v>
      </c>
      <c r="E164" s="31"/>
      <c r="F164" s="13">
        <v>20</v>
      </c>
      <c r="G164" s="13" t="s">
        <v>216</v>
      </c>
      <c r="H164" s="13">
        <f>5921.4/F164</f>
        <v>296.07</v>
      </c>
      <c r="I164" s="74">
        <f>F164*H164</f>
        <v>5921.4</v>
      </c>
      <c r="J164" s="13"/>
      <c r="L164" s="2"/>
    </row>
    <row r="165" spans="1:12" ht="18.75" x14ac:dyDescent="0.25">
      <c r="A165" s="9"/>
      <c r="B165" s="5"/>
      <c r="C165" s="4"/>
      <c r="D165" s="15" t="s">
        <v>217</v>
      </c>
      <c r="E165" s="31"/>
      <c r="F165" s="13">
        <f>2</f>
        <v>2</v>
      </c>
      <c r="G165" s="13" t="s">
        <v>31</v>
      </c>
      <c r="H165" s="13">
        <f>5573/F165</f>
        <v>2786.5</v>
      </c>
      <c r="I165" s="74">
        <f>F165*H165</f>
        <v>5573</v>
      </c>
      <c r="J165" s="13"/>
      <c r="L165" s="2"/>
    </row>
    <row r="166" spans="1:12" ht="31.5" x14ac:dyDescent="0.25">
      <c r="A166" s="9"/>
      <c r="B166" s="5"/>
      <c r="C166" s="4"/>
      <c r="D166" s="15" t="s">
        <v>129</v>
      </c>
      <c r="E166" s="31"/>
      <c r="F166" s="13">
        <f>3+2+24+10+30+2</f>
        <v>71</v>
      </c>
      <c r="G166" s="13" t="s">
        <v>31</v>
      </c>
      <c r="H166" s="33">
        <f>(5708.2+3530.2+42388+17953.2+61185.6+4076.8)/F166</f>
        <v>1899.1830985915492</v>
      </c>
      <c r="I166" s="74">
        <f>F166*H166</f>
        <v>134842</v>
      </c>
      <c r="J166" s="13" t="s">
        <v>124</v>
      </c>
      <c r="L166" s="2"/>
    </row>
    <row r="167" spans="1:12" ht="31.5" x14ac:dyDescent="0.25">
      <c r="A167" s="9"/>
      <c r="B167" s="5"/>
      <c r="C167" s="4"/>
      <c r="D167" s="15" t="s">
        <v>129</v>
      </c>
      <c r="E167" s="31"/>
      <c r="F167" s="13">
        <f>1+5+2</f>
        <v>8</v>
      </c>
      <c r="G167" s="13" t="s">
        <v>31</v>
      </c>
      <c r="H167" s="33">
        <f>(1039+5197.8+2077.8)/F167</f>
        <v>1039.325</v>
      </c>
      <c r="I167" s="83">
        <f>F167*H167</f>
        <v>8314.6</v>
      </c>
      <c r="J167" s="13"/>
      <c r="L167" s="2"/>
    </row>
    <row r="168" spans="1:12" ht="18.75" x14ac:dyDescent="0.25">
      <c r="A168" s="9"/>
      <c r="B168" s="5"/>
      <c r="C168" s="4"/>
      <c r="D168" s="15" t="s">
        <v>108</v>
      </c>
      <c r="E168" s="41"/>
      <c r="F168" s="41">
        <f>3+10+4+13</f>
        <v>30</v>
      </c>
      <c r="G168" s="13" t="s">
        <v>55</v>
      </c>
      <c r="H168" s="45">
        <f>(215.4+726.6+290+990.8)/F168</f>
        <v>74.093333333333334</v>
      </c>
      <c r="I168" s="41">
        <f t="shared" si="20"/>
        <v>2222.8000000000002</v>
      </c>
      <c r="J168" s="13" t="s">
        <v>185</v>
      </c>
      <c r="L168" s="2"/>
    </row>
    <row r="169" spans="1:12" ht="18.75" x14ac:dyDescent="0.25">
      <c r="A169" s="9"/>
      <c r="B169" s="5"/>
      <c r="C169" s="4"/>
      <c r="D169" s="15" t="s">
        <v>109</v>
      </c>
      <c r="E169" s="32"/>
      <c r="F169" s="13">
        <f>29+37+46+16+17+15+22+15+5+6+35+14</f>
        <v>257</v>
      </c>
      <c r="G169" s="13" t="s">
        <v>55</v>
      </c>
      <c r="H169" s="33">
        <f>(7367.2+9400+11686.8+3703.8+4344.2+3830.6+5657+3857.2+1286.4+1553.8+12153.6+3588.8)/F169</f>
        <v>266.26225680933851</v>
      </c>
      <c r="I169" s="13">
        <f t="shared" si="20"/>
        <v>68429.399999999994</v>
      </c>
      <c r="J169" s="13" t="s">
        <v>185</v>
      </c>
      <c r="L169" s="2"/>
    </row>
    <row r="170" spans="1:12" ht="18.75" x14ac:dyDescent="0.25">
      <c r="A170" s="9"/>
      <c r="B170" s="5"/>
      <c r="C170" s="4"/>
      <c r="D170" s="15" t="s">
        <v>145</v>
      </c>
      <c r="E170" s="32"/>
      <c r="F170" s="13">
        <f>1</f>
        <v>1</v>
      </c>
      <c r="G170" s="13" t="s">
        <v>31</v>
      </c>
      <c r="H170" s="13">
        <f>164.4/F170</f>
        <v>164.4</v>
      </c>
      <c r="I170" s="13">
        <f t="shared" si="20"/>
        <v>164.4</v>
      </c>
      <c r="J170" s="13" t="s">
        <v>185</v>
      </c>
      <c r="L170" s="2"/>
    </row>
    <row r="171" spans="1:12" ht="56.25" x14ac:dyDescent="0.25">
      <c r="A171" s="9" t="s">
        <v>110</v>
      </c>
      <c r="B171" s="5"/>
      <c r="C171" s="4"/>
      <c r="D171" s="15" t="s">
        <v>126</v>
      </c>
      <c r="E171" s="32"/>
      <c r="F171" s="13">
        <f>78+78+78+78+78+78+78+78+78+78+78+78</f>
        <v>936</v>
      </c>
      <c r="G171" s="13" t="s">
        <v>111</v>
      </c>
      <c r="H171" s="33">
        <f>(3076.2+3076.2+3076.2+3144.6+3144.6+3144.6+3228.2+3228.2+3228.2+3330+3330+3330)/F171</f>
        <v>40.958333333333336</v>
      </c>
      <c r="I171" s="13">
        <f t="shared" si="20"/>
        <v>38337</v>
      </c>
      <c r="J171" s="13" t="s">
        <v>185</v>
      </c>
      <c r="L171" s="2"/>
    </row>
    <row r="172" spans="1:12" ht="18.75" x14ac:dyDescent="0.25">
      <c r="A172" s="46"/>
      <c r="B172" s="22"/>
      <c r="C172" s="22"/>
      <c r="D172" s="30"/>
      <c r="E172" s="48"/>
      <c r="F172" s="49"/>
      <c r="G172" s="31"/>
      <c r="H172" s="31"/>
      <c r="I172" s="13">
        <f>SUM(I158:I171)</f>
        <v>300869</v>
      </c>
      <c r="J172" s="13"/>
      <c r="L172" s="2"/>
    </row>
    <row r="173" spans="1:12" ht="18.75" x14ac:dyDescent="0.25">
      <c r="A173" s="70" t="s">
        <v>92</v>
      </c>
      <c r="B173" s="71"/>
      <c r="C173" s="71"/>
      <c r="D173" s="71"/>
      <c r="E173" s="71"/>
      <c r="F173" s="71"/>
      <c r="G173" s="72"/>
      <c r="H173" s="12"/>
      <c r="I173" s="5"/>
      <c r="J173" s="5"/>
      <c r="L173" s="2"/>
    </row>
    <row r="174" spans="1:12" ht="18.75" x14ac:dyDescent="0.25">
      <c r="A174" s="26"/>
      <c r="B174" s="27"/>
      <c r="C174" s="27"/>
      <c r="D174" s="36" t="s">
        <v>119</v>
      </c>
      <c r="E174" s="41"/>
      <c r="F174" s="41">
        <f>2+1+1</f>
        <v>4</v>
      </c>
      <c r="G174" s="38" t="s">
        <v>31</v>
      </c>
      <c r="H174" s="60">
        <f>(1832.6+946.8+946.8)/F174</f>
        <v>931.55</v>
      </c>
      <c r="I174" s="41">
        <f>F174*H174</f>
        <v>3726.2</v>
      </c>
      <c r="J174" s="13" t="s">
        <v>185</v>
      </c>
      <c r="L174" s="2"/>
    </row>
    <row r="175" spans="1:12" ht="63" x14ac:dyDescent="0.25">
      <c r="A175" s="9" t="s">
        <v>90</v>
      </c>
      <c r="B175" s="22"/>
      <c r="C175" s="22"/>
      <c r="D175" s="23" t="s">
        <v>121</v>
      </c>
      <c r="E175" s="37">
        <v>2730</v>
      </c>
      <c r="F175" s="13">
        <v>2730</v>
      </c>
      <c r="G175" s="31" t="s">
        <v>91</v>
      </c>
      <c r="H175" s="31">
        <v>4.8</v>
      </c>
      <c r="I175" s="13">
        <f>F175*H175*12</f>
        <v>157248</v>
      </c>
      <c r="J175" s="13" t="s">
        <v>185</v>
      </c>
      <c r="L175" s="2"/>
    </row>
    <row r="176" spans="1:12" ht="18.75" x14ac:dyDescent="0.25">
      <c r="A176" s="46"/>
      <c r="B176" s="22"/>
      <c r="C176" s="22"/>
      <c r="D176" s="30"/>
      <c r="E176" s="48"/>
      <c r="F176" s="49"/>
      <c r="G176" s="31"/>
      <c r="H176" s="31"/>
      <c r="I176" s="13">
        <f>SUM(I174:I175)</f>
        <v>160974.20000000001</v>
      </c>
      <c r="J176" s="13"/>
      <c r="L176" s="2"/>
    </row>
    <row r="177" spans="1:12" ht="18.75" x14ac:dyDescent="0.3">
      <c r="A177" s="63" t="s">
        <v>80</v>
      </c>
      <c r="B177" s="64"/>
      <c r="C177" s="64"/>
      <c r="D177" s="64"/>
      <c r="E177" s="64"/>
      <c r="F177" s="64"/>
      <c r="G177" s="65"/>
      <c r="H177" s="19"/>
      <c r="I177" s="5"/>
      <c r="J177" s="5"/>
      <c r="L177" s="2"/>
    </row>
    <row r="178" spans="1:12" ht="46.5" customHeight="1" x14ac:dyDescent="0.3">
      <c r="A178" s="34" t="s">
        <v>134</v>
      </c>
      <c r="B178" s="24"/>
      <c r="C178" s="24"/>
      <c r="D178" s="35" t="s">
        <v>133</v>
      </c>
      <c r="E178" s="13">
        <v>624</v>
      </c>
      <c r="F178" s="13">
        <v>624</v>
      </c>
      <c r="G178" s="13" t="s">
        <v>142</v>
      </c>
      <c r="H178" s="13">
        <v>13</v>
      </c>
      <c r="I178" s="13">
        <f>F178*H178*3</f>
        <v>24336</v>
      </c>
      <c r="J178" s="13" t="s">
        <v>186</v>
      </c>
      <c r="L178" s="2"/>
    </row>
    <row r="179" spans="1:12" ht="18.75" x14ac:dyDescent="0.25">
      <c r="A179" s="9" t="s">
        <v>25</v>
      </c>
      <c r="B179" s="5"/>
      <c r="C179" s="4"/>
      <c r="D179" s="4" t="s">
        <v>76</v>
      </c>
      <c r="E179" s="41" t="s">
        <v>143</v>
      </c>
      <c r="F179" s="41" t="s">
        <v>143</v>
      </c>
      <c r="G179" s="14" t="s">
        <v>55</v>
      </c>
      <c r="H179" s="41" t="s">
        <v>143</v>
      </c>
      <c r="I179" s="41" t="s">
        <v>143</v>
      </c>
      <c r="J179" s="5"/>
      <c r="L179" s="2"/>
    </row>
    <row r="180" spans="1:12" ht="47.25" x14ac:dyDescent="0.25">
      <c r="A180" s="9" t="s">
        <v>26</v>
      </c>
      <c r="B180" s="5"/>
      <c r="C180" s="4"/>
      <c r="D180" s="15" t="s">
        <v>28</v>
      </c>
      <c r="E180" s="41" t="s">
        <v>143</v>
      </c>
      <c r="F180" s="41" t="s">
        <v>143</v>
      </c>
      <c r="G180" s="14" t="s">
        <v>55</v>
      </c>
      <c r="H180" s="41" t="s">
        <v>143</v>
      </c>
      <c r="I180" s="41" t="s">
        <v>143</v>
      </c>
      <c r="J180" s="5"/>
      <c r="L180" s="2"/>
    </row>
    <row r="181" spans="1:12" ht="31.5" x14ac:dyDescent="0.25">
      <c r="A181" s="9" t="s">
        <v>27</v>
      </c>
      <c r="B181" s="5"/>
      <c r="C181" s="4"/>
      <c r="D181" s="15" t="s">
        <v>75</v>
      </c>
      <c r="E181" s="41" t="s">
        <v>143</v>
      </c>
      <c r="F181" s="41" t="s">
        <v>143</v>
      </c>
      <c r="G181" s="14" t="s">
        <v>55</v>
      </c>
      <c r="H181" s="41" t="s">
        <v>143</v>
      </c>
      <c r="I181" s="41" t="s">
        <v>143</v>
      </c>
      <c r="J181" s="5"/>
      <c r="L181" s="2"/>
    </row>
    <row r="182" spans="1:12" ht="18.75" x14ac:dyDescent="0.25">
      <c r="A182" s="46"/>
      <c r="B182" s="22"/>
      <c r="C182" s="22"/>
      <c r="D182" s="30"/>
      <c r="E182" s="44"/>
      <c r="F182" s="44"/>
      <c r="G182" s="12"/>
      <c r="H182" s="91"/>
      <c r="I182" s="91">
        <f>SUM(I178:I181)</f>
        <v>24336</v>
      </c>
      <c r="J182" s="5"/>
      <c r="L182" s="2"/>
    </row>
    <row r="183" spans="1:12" ht="18.75" x14ac:dyDescent="0.3">
      <c r="A183" s="63" t="s">
        <v>85</v>
      </c>
      <c r="B183" s="64"/>
      <c r="C183" s="64"/>
      <c r="D183" s="64"/>
      <c r="E183" s="64"/>
      <c r="F183" s="64"/>
      <c r="G183" s="65"/>
      <c r="H183" s="25"/>
      <c r="I183" s="25"/>
      <c r="J183" s="25"/>
      <c r="K183" s="2"/>
      <c r="L183" s="2"/>
    </row>
    <row r="184" spans="1:12" ht="48" x14ac:dyDescent="0.3">
      <c r="A184" s="6" t="s">
        <v>67</v>
      </c>
      <c r="B184" s="6"/>
      <c r="C184" s="4"/>
      <c r="D184" s="15" t="s">
        <v>86</v>
      </c>
      <c r="E184" s="41" t="s">
        <v>143</v>
      </c>
      <c r="F184" s="41" t="s">
        <v>143</v>
      </c>
      <c r="G184" s="13" t="s">
        <v>30</v>
      </c>
      <c r="H184" s="41" t="s">
        <v>143</v>
      </c>
      <c r="I184" s="41" t="s">
        <v>143</v>
      </c>
      <c r="J184" s="5"/>
      <c r="L184" s="2"/>
    </row>
    <row r="185" spans="1:12" ht="32.25" x14ac:dyDescent="0.3">
      <c r="A185" s="28"/>
      <c r="B185" s="29"/>
      <c r="C185" s="22"/>
      <c r="D185" s="30" t="s">
        <v>112</v>
      </c>
      <c r="E185" s="41" t="s">
        <v>143</v>
      </c>
      <c r="F185" s="41" t="s">
        <v>143</v>
      </c>
      <c r="G185" s="13" t="s">
        <v>113</v>
      </c>
      <c r="H185" s="41" t="s">
        <v>143</v>
      </c>
      <c r="I185" s="41" t="s">
        <v>143</v>
      </c>
      <c r="J185" s="39"/>
      <c r="L185" s="2"/>
    </row>
    <row r="186" spans="1:12" ht="18.75" x14ac:dyDescent="0.3">
      <c r="A186" s="63" t="s">
        <v>100</v>
      </c>
      <c r="B186" s="64"/>
      <c r="C186" s="64"/>
      <c r="D186" s="64"/>
      <c r="E186" s="64"/>
      <c r="F186" s="64"/>
      <c r="G186" s="65"/>
      <c r="H186" s="63"/>
      <c r="I186" s="64"/>
      <c r="J186" s="64"/>
      <c r="L186" s="2"/>
    </row>
    <row r="187" spans="1:12" ht="32.25" x14ac:dyDescent="0.3">
      <c r="A187" s="34" t="s">
        <v>158</v>
      </c>
      <c r="B187" s="24"/>
      <c r="C187" s="24"/>
      <c r="D187" s="40" t="s">
        <v>137</v>
      </c>
      <c r="E187" s="13"/>
      <c r="F187" s="13"/>
      <c r="G187" s="13" t="s">
        <v>138</v>
      </c>
      <c r="H187" s="13"/>
      <c r="I187" s="33"/>
      <c r="J187" s="13"/>
      <c r="L187" s="2"/>
    </row>
    <row r="188" spans="1:12" ht="48" x14ac:dyDescent="0.3">
      <c r="A188" s="24"/>
      <c r="B188" s="24"/>
      <c r="C188" s="24"/>
      <c r="D188" s="40" t="s">
        <v>139</v>
      </c>
      <c r="E188" s="41"/>
      <c r="F188" s="41">
        <f>20</f>
        <v>20</v>
      </c>
      <c r="G188" s="13" t="s">
        <v>140</v>
      </c>
      <c r="H188" s="41">
        <v>650</v>
      </c>
      <c r="I188" s="76">
        <f>F188*H188</f>
        <v>13000</v>
      </c>
      <c r="J188" s="13" t="s">
        <v>188</v>
      </c>
      <c r="L188" s="2"/>
    </row>
    <row r="189" spans="1:12" ht="32.25" x14ac:dyDescent="0.3">
      <c r="A189" s="24"/>
      <c r="B189" s="24"/>
      <c r="C189" s="24"/>
      <c r="D189" s="40" t="s">
        <v>189</v>
      </c>
      <c r="E189" s="13"/>
      <c r="F189" s="13">
        <f>10+10+30+20+230</f>
        <v>300</v>
      </c>
      <c r="G189" s="13" t="s">
        <v>141</v>
      </c>
      <c r="H189" s="33">
        <f>(500+500+1500+688+10541)/F189</f>
        <v>45.763333333333335</v>
      </c>
      <c r="I189" s="77">
        <f t="shared" ref="I189:I191" si="21">F189*H189</f>
        <v>13729</v>
      </c>
      <c r="J189" s="13" t="s">
        <v>188</v>
      </c>
      <c r="L189" s="2"/>
    </row>
    <row r="190" spans="1:12" ht="32.25" x14ac:dyDescent="0.3">
      <c r="A190" s="24"/>
      <c r="B190" s="24"/>
      <c r="C190" s="24"/>
      <c r="D190" s="40" t="s">
        <v>190</v>
      </c>
      <c r="E190" s="13"/>
      <c r="F190" s="13">
        <f>5+95</f>
        <v>100</v>
      </c>
      <c r="G190" s="13" t="s">
        <v>141</v>
      </c>
      <c r="H190" s="33">
        <f>(209+3959)/F190</f>
        <v>41.68</v>
      </c>
      <c r="I190" s="77">
        <f t="shared" si="21"/>
        <v>4168</v>
      </c>
      <c r="J190" s="13" t="s">
        <v>188</v>
      </c>
      <c r="L190" s="2"/>
    </row>
    <row r="191" spans="1:12" ht="32.25" x14ac:dyDescent="0.3">
      <c r="A191" s="24"/>
      <c r="B191" s="24"/>
      <c r="C191" s="24"/>
      <c r="D191" s="40" t="s">
        <v>220</v>
      </c>
      <c r="E191" s="13"/>
      <c r="F191" s="13">
        <v>27</v>
      </c>
      <c r="G191" s="13" t="s">
        <v>116</v>
      </c>
      <c r="H191" s="33">
        <f>4104.8/F191</f>
        <v>152.02962962962962</v>
      </c>
      <c r="I191" s="77">
        <f t="shared" si="21"/>
        <v>4104.8</v>
      </c>
      <c r="J191" s="13" t="s">
        <v>124</v>
      </c>
      <c r="L191" s="2"/>
    </row>
    <row r="192" spans="1:12" ht="32.25" x14ac:dyDescent="0.3">
      <c r="A192" s="24"/>
      <c r="B192" s="24"/>
      <c r="C192" s="24"/>
      <c r="D192" s="40" t="s">
        <v>255</v>
      </c>
      <c r="E192" s="31"/>
      <c r="F192" s="31">
        <f>15</f>
        <v>15</v>
      </c>
      <c r="G192" s="13" t="s">
        <v>216</v>
      </c>
      <c r="H192" s="57">
        <f>2501.4/F192</f>
        <v>166.76000000000002</v>
      </c>
      <c r="I192" s="78">
        <f>F192*H192</f>
        <v>2501.4</v>
      </c>
      <c r="J192" s="54" t="s">
        <v>120</v>
      </c>
      <c r="L192" s="2"/>
    </row>
    <row r="193" spans="1:12" ht="18.75" x14ac:dyDescent="0.3">
      <c r="A193" s="34" t="s">
        <v>177</v>
      </c>
      <c r="B193" s="24"/>
      <c r="C193" s="24"/>
      <c r="D193" s="40" t="s">
        <v>178</v>
      </c>
      <c r="E193" s="13"/>
      <c r="F193" s="13"/>
      <c r="G193" s="38" t="s">
        <v>31</v>
      </c>
      <c r="H193" s="13"/>
      <c r="I193" s="13"/>
      <c r="J193" s="13"/>
      <c r="L193" s="2"/>
    </row>
    <row r="194" spans="1:12" ht="18.75" x14ac:dyDescent="0.3">
      <c r="A194" s="24"/>
      <c r="B194" s="24"/>
      <c r="C194" s="24"/>
      <c r="D194" s="40" t="s">
        <v>197</v>
      </c>
      <c r="E194" s="41"/>
      <c r="F194" s="41">
        <f>6</f>
        <v>6</v>
      </c>
      <c r="G194" s="38" t="s">
        <v>31</v>
      </c>
      <c r="H194" s="41">
        <f>11634.6/F194</f>
        <v>1939.1000000000001</v>
      </c>
      <c r="I194" s="73">
        <f>F194*H194</f>
        <v>11634.6</v>
      </c>
      <c r="J194" s="54" t="s">
        <v>120</v>
      </c>
      <c r="L194" s="2"/>
    </row>
    <row r="195" spans="1:12" ht="18.75" x14ac:dyDescent="0.3">
      <c r="A195" s="34"/>
      <c r="B195" s="14"/>
      <c r="C195" s="14"/>
      <c r="D195" s="43" t="s">
        <v>179</v>
      </c>
      <c r="E195" s="14"/>
      <c r="F195" s="14">
        <f>7.5</f>
        <v>7.5</v>
      </c>
      <c r="G195" s="38" t="s">
        <v>30</v>
      </c>
      <c r="H195" s="14">
        <f>5264.4/F195</f>
        <v>701.92</v>
      </c>
      <c r="I195" s="79">
        <f>F195*H195</f>
        <v>5264.4</v>
      </c>
      <c r="J195" s="54" t="s">
        <v>120</v>
      </c>
      <c r="L195" s="2"/>
    </row>
    <row r="196" spans="1:12" ht="47.25" x14ac:dyDescent="0.3">
      <c r="A196" s="58"/>
      <c r="B196" s="54"/>
      <c r="C196" s="54"/>
      <c r="D196" s="43" t="s">
        <v>227</v>
      </c>
      <c r="E196" s="14"/>
      <c r="F196" s="14">
        <f>230+100</f>
        <v>330</v>
      </c>
      <c r="G196" s="14" t="s">
        <v>116</v>
      </c>
      <c r="H196" s="55">
        <f>(98697.8+45873.2)/F196</f>
        <v>438.09393939393942</v>
      </c>
      <c r="I196" s="80">
        <f t="shared" ref="I196:I197" si="22">F196*H196</f>
        <v>144571</v>
      </c>
      <c r="J196" s="13" t="s">
        <v>124</v>
      </c>
      <c r="L196" s="2"/>
    </row>
    <row r="197" spans="1:12" ht="18.75" x14ac:dyDescent="0.3">
      <c r="A197" s="58"/>
      <c r="B197" s="54"/>
      <c r="C197" s="54"/>
      <c r="D197" s="43" t="s">
        <v>228</v>
      </c>
      <c r="E197" s="14"/>
      <c r="F197" s="14">
        <f>81+23+14+10+71</f>
        <v>199</v>
      </c>
      <c r="G197" s="14" t="s">
        <v>31</v>
      </c>
      <c r="H197" s="55">
        <f>(7460.8+6277.4+6448.8+2384+7550.6)/F197</f>
        <v>151.364824120603</v>
      </c>
      <c r="I197" s="80">
        <f t="shared" si="22"/>
        <v>30121.599999999999</v>
      </c>
      <c r="J197" s="13" t="s">
        <v>124</v>
      </c>
      <c r="L197" s="2"/>
    </row>
    <row r="198" spans="1:12" ht="18.75" x14ac:dyDescent="0.3">
      <c r="A198" s="58"/>
      <c r="B198" s="54"/>
      <c r="C198" s="54"/>
      <c r="D198" s="51" t="s">
        <v>232</v>
      </c>
      <c r="E198" s="54"/>
      <c r="F198" s="54">
        <f>500+300+150</f>
        <v>950</v>
      </c>
      <c r="G198" s="53" t="s">
        <v>116</v>
      </c>
      <c r="H198" s="59">
        <f>(2419.6+1984.6+1378.2)/F198</f>
        <v>6.086736842105263</v>
      </c>
      <c r="I198" s="81">
        <f>F198*H198</f>
        <v>5782.4</v>
      </c>
      <c r="J198" s="13" t="s">
        <v>124</v>
      </c>
      <c r="L198" s="2"/>
    </row>
    <row r="199" spans="1:12" ht="31.5" x14ac:dyDescent="0.3">
      <c r="A199" s="58"/>
      <c r="B199" s="54"/>
      <c r="C199" s="54"/>
      <c r="D199" s="51" t="s">
        <v>234</v>
      </c>
      <c r="E199" s="54"/>
      <c r="F199" s="54">
        <f>3.6</f>
        <v>3.6</v>
      </c>
      <c r="G199" s="53" t="s">
        <v>140</v>
      </c>
      <c r="H199" s="54">
        <f>2019.6/F199</f>
        <v>561</v>
      </c>
      <c r="I199" s="81">
        <f>F199*H199</f>
        <v>2019.6000000000001</v>
      </c>
      <c r="J199" s="13" t="s">
        <v>124</v>
      </c>
      <c r="L199" s="2"/>
    </row>
    <row r="200" spans="1:12" ht="18.75" x14ac:dyDescent="0.3">
      <c r="A200" s="58"/>
      <c r="B200" s="54"/>
      <c r="C200" s="54"/>
      <c r="D200" s="51" t="s">
        <v>241</v>
      </c>
      <c r="E200" s="54"/>
      <c r="F200" s="54">
        <f>5+10</f>
        <v>15</v>
      </c>
      <c r="G200" s="53" t="s">
        <v>116</v>
      </c>
      <c r="H200" s="59">
        <f>(11120.8+23937.6)/F200</f>
        <v>2337.2266666666665</v>
      </c>
      <c r="I200" s="81">
        <f>F200*H200</f>
        <v>35058.399999999994</v>
      </c>
      <c r="J200" s="13" t="s">
        <v>124</v>
      </c>
      <c r="L200" s="2"/>
    </row>
    <row r="201" spans="1:12" ht="31.5" x14ac:dyDescent="0.3">
      <c r="A201" s="58"/>
      <c r="B201" s="54"/>
      <c r="C201" s="54"/>
      <c r="D201" s="51" t="s">
        <v>242</v>
      </c>
      <c r="E201" s="54"/>
      <c r="F201" s="54">
        <v>0.16</v>
      </c>
      <c r="G201" s="53" t="s">
        <v>243</v>
      </c>
      <c r="H201" s="59">
        <f>71189.6/F201</f>
        <v>444935</v>
      </c>
      <c r="I201" s="81">
        <f>F201*H201</f>
        <v>71189.600000000006</v>
      </c>
      <c r="J201" s="13" t="s">
        <v>124</v>
      </c>
      <c r="L201" s="2"/>
    </row>
    <row r="202" spans="1:12" ht="18.75" x14ac:dyDescent="0.3">
      <c r="A202" s="58"/>
      <c r="B202" s="54"/>
      <c r="C202" s="54"/>
      <c r="D202" s="51" t="s">
        <v>235</v>
      </c>
      <c r="E202" s="54"/>
      <c r="F202" s="54">
        <v>30</v>
      </c>
      <c r="G202" s="53" t="s">
        <v>116</v>
      </c>
      <c r="H202" s="54">
        <f>663/F202</f>
        <v>22.1</v>
      </c>
      <c r="I202" s="81">
        <f>F202*H202</f>
        <v>663</v>
      </c>
      <c r="J202" s="13" t="s">
        <v>124</v>
      </c>
      <c r="L202" s="2"/>
    </row>
    <row r="203" spans="1:12" ht="63" x14ac:dyDescent="0.25">
      <c r="A203" s="50"/>
      <c r="B203" s="50"/>
      <c r="C203" s="50"/>
      <c r="D203" s="51" t="s">
        <v>181</v>
      </c>
      <c r="E203" s="52"/>
      <c r="F203" s="52">
        <f>6</f>
        <v>6</v>
      </c>
      <c r="G203" s="53" t="s">
        <v>155</v>
      </c>
      <c r="H203" s="52">
        <f>3453/F203</f>
        <v>575.5</v>
      </c>
      <c r="I203" s="82">
        <f t="shared" ref="I203" si="23">F203*H203</f>
        <v>3453</v>
      </c>
      <c r="J203" s="54" t="s">
        <v>124</v>
      </c>
      <c r="K203" s="2"/>
      <c r="L203" s="2"/>
    </row>
    <row r="204" spans="1:12" ht="15.75" x14ac:dyDescent="0.25">
      <c r="A204" s="50"/>
      <c r="B204" s="50"/>
      <c r="C204" s="50"/>
      <c r="D204" s="51" t="s">
        <v>236</v>
      </c>
      <c r="E204" s="52"/>
      <c r="F204" s="52">
        <v>1</v>
      </c>
      <c r="G204" s="53" t="s">
        <v>31</v>
      </c>
      <c r="H204" s="52">
        <f>6200/F204</f>
        <v>6200</v>
      </c>
      <c r="I204" s="82">
        <f>F204*H204</f>
        <v>6200</v>
      </c>
      <c r="J204" s="54" t="s">
        <v>120</v>
      </c>
      <c r="K204" s="2"/>
      <c r="L204" s="2"/>
    </row>
    <row r="205" spans="1:12" ht="31.5" x14ac:dyDescent="0.25">
      <c r="A205" s="50"/>
      <c r="B205" s="50"/>
      <c r="C205" s="50"/>
      <c r="D205" s="51" t="s">
        <v>249</v>
      </c>
      <c r="E205" s="52"/>
      <c r="F205" s="52">
        <f>3+1+1+1+1+1+1+1+1+1</f>
        <v>12</v>
      </c>
      <c r="G205" s="53" t="s">
        <v>210</v>
      </c>
      <c r="H205" s="56">
        <f>(47146+15715+15715+15715+15715+15715+15715+15715+15715+15715)/F205</f>
        <v>15715.083333333334</v>
      </c>
      <c r="I205" s="82">
        <f>F205*H205</f>
        <v>188581</v>
      </c>
      <c r="J205" s="54" t="s">
        <v>120</v>
      </c>
      <c r="K205" s="2"/>
      <c r="L205" s="2"/>
    </row>
    <row r="206" spans="1:12" ht="31.5" x14ac:dyDescent="0.25">
      <c r="A206" s="50" t="s">
        <v>159</v>
      </c>
      <c r="B206" s="50"/>
      <c r="C206" s="50"/>
      <c r="D206" s="51" t="s">
        <v>244</v>
      </c>
      <c r="E206" s="52"/>
      <c r="F206" s="52">
        <v>2.1</v>
      </c>
      <c r="G206" s="53" t="s">
        <v>116</v>
      </c>
      <c r="H206" s="56">
        <f>1297.2/F206</f>
        <v>617.71428571428567</v>
      </c>
      <c r="I206" s="82">
        <f>F206*H206</f>
        <v>1297.2</v>
      </c>
      <c r="J206" s="54" t="s">
        <v>120</v>
      </c>
      <c r="K206" s="2"/>
      <c r="L206" s="2"/>
    </row>
    <row r="207" spans="1:12" ht="15.75" x14ac:dyDescent="0.25">
      <c r="A207" s="50"/>
      <c r="B207" s="50"/>
      <c r="C207" s="50"/>
      <c r="D207" s="51" t="s">
        <v>245</v>
      </c>
      <c r="E207" s="52"/>
      <c r="F207" s="52">
        <v>8</v>
      </c>
      <c r="G207" s="53" t="s">
        <v>157</v>
      </c>
      <c r="H207" s="56">
        <f>2544.6/F207</f>
        <v>318.07499999999999</v>
      </c>
      <c r="I207" s="82">
        <f>F207*H207</f>
        <v>2544.6</v>
      </c>
      <c r="J207" s="54" t="s">
        <v>120</v>
      </c>
      <c r="K207" s="2"/>
      <c r="L207" s="2"/>
    </row>
    <row r="208" spans="1:12" ht="15.75" x14ac:dyDescent="0.25">
      <c r="A208" s="50"/>
      <c r="B208" s="50"/>
      <c r="C208" s="50"/>
      <c r="D208" s="51" t="s">
        <v>272</v>
      </c>
      <c r="E208" s="52"/>
      <c r="F208" s="52">
        <f>2</f>
        <v>2</v>
      </c>
      <c r="G208" s="53" t="s">
        <v>31</v>
      </c>
      <c r="H208" s="56">
        <f>87000/F208</f>
        <v>43500</v>
      </c>
      <c r="I208" s="82">
        <f>F208*H208</f>
        <v>87000</v>
      </c>
      <c r="J208" s="54" t="s">
        <v>122</v>
      </c>
      <c r="K208" s="2"/>
      <c r="L208" s="2"/>
    </row>
    <row r="209" spans="1:12" ht="15.75" x14ac:dyDescent="0.25">
      <c r="A209" s="50"/>
      <c r="B209" s="50"/>
      <c r="C209" s="50"/>
      <c r="D209" s="51"/>
      <c r="E209" s="52"/>
      <c r="F209" s="52"/>
      <c r="G209" s="53"/>
      <c r="H209" s="56"/>
      <c r="I209" s="82">
        <f>SUM(I187:I208)</f>
        <v>632883.6</v>
      </c>
      <c r="J209" s="54"/>
      <c r="K209" s="2"/>
      <c r="L209" s="2"/>
    </row>
    <row r="210" spans="1:12" ht="15.75" x14ac:dyDescent="0.25">
      <c r="A210" s="50"/>
      <c r="B210" s="50"/>
      <c r="C210" s="50"/>
      <c r="D210" s="51"/>
      <c r="E210" s="52"/>
      <c r="F210" s="52"/>
      <c r="G210" s="53"/>
      <c r="H210" s="56"/>
      <c r="I210" s="82">
        <f>I6+I23+I28+I29+I32+I41+I42+I43+I45+I46+I47+I48+I49+I50+I51+I52+I53+I54+I55+I56+I57+I58+I59+I60+I61+I64+I66+I81+I82+I83+I84+I85+I86+I87+I88+I89+I90+I91+I92+I98+I99+I100+I101+I102+I103+I106+I107+I108+I109+I110+I111+I112+I113+I114+I115+I116+I117+I118+I120+I121+I122+I123+I124+I125+I126+I127+I140+I142+I143+I144+I149+I160+I161+I162+I163+I164+I165+I166+I188+I189+I190+I191+I192+I194+I195+I196+I197+I198+I199+I200+I201+I202+I203+I204+I205+I206+I207+I208</f>
        <v>3150862.8000000003</v>
      </c>
      <c r="J210" s="54"/>
      <c r="K210" s="2"/>
      <c r="L210" s="2"/>
    </row>
    <row r="211" spans="1:12" ht="15.75" x14ac:dyDescent="0.25">
      <c r="A211" s="50"/>
      <c r="B211" s="50"/>
      <c r="C211" s="50"/>
      <c r="D211" s="51"/>
      <c r="E211" s="52"/>
      <c r="F211" s="52"/>
      <c r="G211" s="53"/>
      <c r="H211" s="56"/>
      <c r="I211" s="82">
        <f>I17+I39+I71+I95+I130+I146+I156+I172+I182+I209</f>
        <v>4114852</v>
      </c>
      <c r="J211" s="54"/>
      <c r="K211" s="2"/>
      <c r="L211" s="2"/>
    </row>
    <row r="212" spans="1:12" ht="99.75" customHeight="1" x14ac:dyDescent="0.25">
      <c r="A212" s="85" t="s">
        <v>107</v>
      </c>
      <c r="B212" s="86"/>
      <c r="C212" s="86"/>
      <c r="D212" s="86"/>
      <c r="E212" s="86"/>
      <c r="F212" s="86"/>
      <c r="G212" s="86"/>
      <c r="H212" s="86"/>
      <c r="I212" s="86"/>
      <c r="J212" s="87"/>
      <c r="K212" s="2"/>
      <c r="L212" s="2"/>
    </row>
    <row r="213" spans="1:12" ht="15.75" x14ac:dyDescent="0.25">
      <c r="A213" s="2"/>
      <c r="B213" s="2"/>
      <c r="C213" s="2"/>
      <c r="D213" s="16"/>
      <c r="E213" s="16"/>
      <c r="F213" s="2"/>
      <c r="G213" s="2"/>
      <c r="H213" s="2"/>
      <c r="I213" s="2"/>
      <c r="J213" s="2"/>
      <c r="K213" s="2"/>
      <c r="L213" s="2"/>
    </row>
    <row r="214" spans="1:12" ht="15.75" x14ac:dyDescent="0.25">
      <c r="A214" s="2"/>
      <c r="B214" s="2"/>
      <c r="C214" s="2"/>
      <c r="D214" s="16"/>
      <c r="E214" s="16"/>
      <c r="F214" s="2"/>
      <c r="G214" s="16"/>
      <c r="H214" s="2"/>
      <c r="I214" s="2"/>
      <c r="J214" s="2"/>
      <c r="K214" s="2"/>
      <c r="L214" s="2"/>
    </row>
    <row r="215" spans="1:12" ht="15.75" x14ac:dyDescent="0.25">
      <c r="A215" s="2"/>
      <c r="B215" s="2"/>
      <c r="C215" s="2"/>
      <c r="D215" s="16"/>
      <c r="E215" s="16"/>
      <c r="F215" s="2"/>
      <c r="G215" s="16"/>
      <c r="H215" s="2"/>
      <c r="I215" s="88"/>
      <c r="J215" s="2"/>
      <c r="K215" s="2"/>
      <c r="L215" s="2"/>
    </row>
    <row r="216" spans="1:12" ht="15.75" x14ac:dyDescent="0.25">
      <c r="A216" s="2"/>
      <c r="B216" s="2"/>
      <c r="C216" s="2"/>
      <c r="D216" s="16"/>
      <c r="E216" s="16"/>
      <c r="F216" s="2"/>
      <c r="G216" s="16"/>
      <c r="H216" s="2"/>
      <c r="I216" s="2"/>
      <c r="J216" s="2"/>
      <c r="K216" s="2"/>
      <c r="L216" s="2"/>
    </row>
    <row r="217" spans="1:12" ht="15.75" x14ac:dyDescent="0.25">
      <c r="A217" s="2"/>
      <c r="B217" s="2"/>
      <c r="C217" s="2"/>
      <c r="D217" s="16"/>
      <c r="E217" s="16"/>
      <c r="F217" s="2"/>
      <c r="G217" s="16"/>
      <c r="H217" s="2"/>
      <c r="I217" s="2"/>
      <c r="J217" s="2"/>
      <c r="K217" s="2"/>
      <c r="L217" s="2"/>
    </row>
    <row r="218" spans="1:12" ht="15.75" x14ac:dyDescent="0.25">
      <c r="A218" s="2"/>
      <c r="B218" s="2"/>
      <c r="C218" s="2"/>
      <c r="D218" s="16"/>
      <c r="E218" s="16"/>
      <c r="F218" s="2"/>
      <c r="G218" s="2"/>
      <c r="H218" s="2"/>
      <c r="I218" s="2"/>
      <c r="J218" s="2"/>
      <c r="K218" s="2"/>
      <c r="L218" s="2"/>
    </row>
    <row r="219" spans="1:12" ht="15.75" x14ac:dyDescent="0.25">
      <c r="A219" s="2"/>
      <c r="B219" s="2"/>
      <c r="C219" s="2"/>
      <c r="D219" s="16"/>
      <c r="E219" s="16"/>
      <c r="F219" s="2"/>
      <c r="G219" s="2"/>
      <c r="H219" s="2"/>
      <c r="I219" s="2"/>
      <c r="J219" s="2"/>
      <c r="K219" s="2"/>
      <c r="L219" s="2"/>
    </row>
    <row r="220" spans="1:12" ht="15.75" x14ac:dyDescent="0.25">
      <c r="A220" s="2"/>
      <c r="B220" s="2"/>
      <c r="C220" s="2"/>
      <c r="D220" s="16"/>
      <c r="E220" s="16"/>
      <c r="F220" s="2"/>
      <c r="G220" s="2"/>
      <c r="H220" s="2"/>
      <c r="I220" s="2"/>
      <c r="J220" s="2"/>
      <c r="K220" s="2"/>
      <c r="L220" s="2"/>
    </row>
    <row r="221" spans="1:12" ht="15.75" x14ac:dyDescent="0.25">
      <c r="A221" s="2"/>
      <c r="B221" s="2"/>
      <c r="C221" s="2"/>
      <c r="D221" s="16"/>
      <c r="E221" s="16"/>
      <c r="F221" s="2"/>
      <c r="G221" s="2"/>
      <c r="H221" s="2"/>
      <c r="I221" s="2"/>
      <c r="J221" s="2"/>
      <c r="K221" s="2"/>
      <c r="L221" s="2"/>
    </row>
    <row r="222" spans="1:12" ht="15.75" x14ac:dyDescent="0.25">
      <c r="A222" s="2"/>
      <c r="B222" s="2"/>
      <c r="C222" s="2"/>
      <c r="D222" s="16"/>
      <c r="E222" s="16"/>
      <c r="F222" s="2"/>
      <c r="G222" s="2"/>
      <c r="H222" s="2"/>
      <c r="I222" s="2"/>
      <c r="J222" s="2"/>
      <c r="K222" s="2"/>
      <c r="L222" s="2"/>
    </row>
    <row r="223" spans="1:12" ht="15.75" x14ac:dyDescent="0.25">
      <c r="A223" s="2"/>
      <c r="B223" s="2"/>
      <c r="C223" s="2"/>
      <c r="D223" s="16"/>
      <c r="E223" s="16"/>
      <c r="F223" s="2"/>
      <c r="G223" s="2"/>
      <c r="H223" s="2"/>
      <c r="I223" s="2"/>
      <c r="J223" s="2"/>
      <c r="K223" s="2"/>
      <c r="L223" s="2"/>
    </row>
    <row r="224" spans="1:12" ht="15.75" x14ac:dyDescent="0.25">
      <c r="A224" s="2"/>
      <c r="B224" s="2"/>
      <c r="C224" s="2"/>
      <c r="D224" s="16"/>
      <c r="E224" s="16"/>
      <c r="F224" s="2"/>
      <c r="G224" s="2"/>
      <c r="H224" s="2"/>
      <c r="I224" s="2"/>
      <c r="J224" s="2"/>
      <c r="K224" s="2"/>
      <c r="L224" s="2"/>
    </row>
    <row r="225" spans="1:12" ht="15.75" x14ac:dyDescent="0.25">
      <c r="A225" s="2"/>
      <c r="B225" s="2"/>
      <c r="C225" s="2"/>
      <c r="D225" s="16"/>
      <c r="E225" s="16"/>
      <c r="F225" s="2"/>
      <c r="G225" s="2"/>
      <c r="H225" s="2"/>
      <c r="I225" s="2"/>
      <c r="J225" s="2"/>
      <c r="K225" s="2"/>
      <c r="L225" s="2"/>
    </row>
    <row r="226" spans="1:12" ht="15.75" x14ac:dyDescent="0.25">
      <c r="A226" s="2"/>
      <c r="B226" s="2"/>
      <c r="C226" s="2"/>
      <c r="D226" s="16"/>
      <c r="E226" s="16"/>
      <c r="F226" s="2"/>
      <c r="G226" s="2"/>
      <c r="H226" s="2"/>
      <c r="I226" s="2"/>
      <c r="J226" s="2"/>
      <c r="K226" s="2"/>
      <c r="L226" s="2"/>
    </row>
    <row r="227" spans="1:12" ht="15.75" x14ac:dyDescent="0.25">
      <c r="A227" s="2"/>
      <c r="B227" s="2"/>
      <c r="C227" s="2"/>
      <c r="D227" s="16"/>
      <c r="E227" s="16"/>
      <c r="F227" s="2"/>
      <c r="G227" s="2"/>
      <c r="H227" s="2"/>
      <c r="I227" s="2"/>
      <c r="J227" s="2"/>
      <c r="K227" s="2"/>
      <c r="L227" s="2"/>
    </row>
    <row r="228" spans="1:12" ht="15.75" x14ac:dyDescent="0.25">
      <c r="A228" s="2"/>
      <c r="B228" s="2"/>
      <c r="C228" s="2"/>
      <c r="D228" s="16"/>
      <c r="E228" s="16"/>
      <c r="F228" s="2"/>
      <c r="G228" s="2"/>
      <c r="H228" s="2"/>
      <c r="I228" s="2"/>
      <c r="J228" s="2"/>
      <c r="K228" s="2"/>
      <c r="L228" s="2"/>
    </row>
    <row r="229" spans="1:12" ht="15.75" x14ac:dyDescent="0.25">
      <c r="A229" s="2"/>
      <c r="B229" s="2"/>
      <c r="C229" s="2"/>
      <c r="D229" s="16"/>
      <c r="E229" s="16"/>
      <c r="F229" s="2"/>
      <c r="G229" s="2"/>
      <c r="H229" s="2"/>
      <c r="I229" s="2"/>
      <c r="J229" s="2"/>
      <c r="K229" s="2"/>
      <c r="L229" s="2"/>
    </row>
    <row r="230" spans="1:12" ht="15.75" x14ac:dyDescent="0.25">
      <c r="A230" s="2"/>
      <c r="B230" s="2"/>
      <c r="C230" s="2"/>
      <c r="D230" s="16"/>
      <c r="E230" s="16"/>
      <c r="F230" s="2"/>
      <c r="G230" s="2"/>
      <c r="H230" s="2"/>
      <c r="I230" s="2"/>
      <c r="J230" s="2"/>
      <c r="K230" s="2"/>
      <c r="L230" s="2"/>
    </row>
    <row r="231" spans="1:12" ht="15.75" x14ac:dyDescent="0.25">
      <c r="A231" s="2"/>
      <c r="B231" s="2"/>
      <c r="C231" s="2"/>
      <c r="D231" s="16"/>
      <c r="E231" s="16"/>
      <c r="F231" s="2"/>
      <c r="G231" s="2"/>
      <c r="H231" s="2"/>
      <c r="I231" s="2"/>
      <c r="J231" s="2"/>
      <c r="K231" s="2"/>
      <c r="L231" s="2"/>
    </row>
    <row r="232" spans="1:12" ht="15.75" x14ac:dyDescent="0.25">
      <c r="A232" s="2"/>
      <c r="B232" s="2"/>
      <c r="C232" s="2"/>
      <c r="D232" s="16"/>
      <c r="E232" s="16"/>
      <c r="F232" s="2"/>
      <c r="G232" s="2"/>
      <c r="H232" s="2"/>
      <c r="I232" s="2"/>
      <c r="J232" s="2"/>
      <c r="K232" s="2"/>
      <c r="L232" s="2"/>
    </row>
    <row r="233" spans="1:12" ht="15.75" x14ac:dyDescent="0.25">
      <c r="A233" s="2"/>
      <c r="B233" s="2"/>
      <c r="C233" s="2"/>
      <c r="D233" s="16"/>
      <c r="E233" s="16"/>
      <c r="F233" s="2"/>
      <c r="G233" s="2"/>
      <c r="H233" s="2"/>
      <c r="I233" s="2"/>
      <c r="J233" s="2"/>
      <c r="K233" s="2"/>
      <c r="L233" s="2"/>
    </row>
    <row r="234" spans="1:12" ht="15.75" x14ac:dyDescent="0.25">
      <c r="A234" s="2"/>
      <c r="B234" s="2"/>
      <c r="C234" s="2"/>
      <c r="D234" s="16"/>
      <c r="E234" s="16"/>
      <c r="F234" s="2"/>
      <c r="G234" s="2"/>
      <c r="H234" s="2"/>
      <c r="I234" s="2"/>
      <c r="J234" s="2"/>
      <c r="K234" s="2"/>
      <c r="L234" s="2"/>
    </row>
    <row r="235" spans="1:12" ht="15.75" x14ac:dyDescent="0.25">
      <c r="A235" s="2"/>
      <c r="B235" s="2"/>
      <c r="C235" s="2"/>
      <c r="D235" s="16"/>
      <c r="E235" s="16"/>
      <c r="F235" s="2"/>
      <c r="G235" s="2"/>
      <c r="H235" s="2"/>
      <c r="I235" s="2"/>
      <c r="J235" s="2"/>
      <c r="K235" s="2"/>
      <c r="L235" s="2"/>
    </row>
    <row r="236" spans="1:12" ht="15.75" x14ac:dyDescent="0.25">
      <c r="A236" s="2"/>
      <c r="B236" s="2"/>
      <c r="C236" s="2"/>
      <c r="D236" s="16"/>
      <c r="E236" s="16"/>
      <c r="F236" s="2"/>
      <c r="G236" s="2"/>
      <c r="H236" s="2"/>
      <c r="I236" s="2"/>
      <c r="J236" s="2"/>
      <c r="K236" s="2"/>
      <c r="L236" s="2"/>
    </row>
    <row r="237" spans="1:12" ht="15.75" x14ac:dyDescent="0.25">
      <c r="A237" s="2"/>
      <c r="B237" s="2"/>
      <c r="C237" s="2"/>
      <c r="D237" s="16"/>
      <c r="E237" s="16"/>
      <c r="F237" s="2"/>
      <c r="G237" s="2"/>
      <c r="H237" s="2"/>
      <c r="I237" s="2"/>
      <c r="J237" s="2"/>
      <c r="K237" s="2"/>
      <c r="L237" s="2"/>
    </row>
    <row r="238" spans="1:12" ht="15.75" x14ac:dyDescent="0.25">
      <c r="A238" s="2"/>
      <c r="B238" s="2"/>
      <c r="C238" s="2"/>
      <c r="D238" s="16"/>
      <c r="E238" s="16"/>
      <c r="F238" s="2"/>
      <c r="G238" s="2"/>
      <c r="H238" s="2"/>
      <c r="I238" s="2"/>
      <c r="J238" s="2"/>
      <c r="K238" s="2"/>
      <c r="L238" s="2"/>
    </row>
  </sheetData>
  <mergeCells count="16">
    <mergeCell ref="A212:J212"/>
    <mergeCell ref="A2:J2"/>
    <mergeCell ref="A186:G186"/>
    <mergeCell ref="H186:J186"/>
    <mergeCell ref="I1:J1"/>
    <mergeCell ref="A131:G131"/>
    <mergeCell ref="A157:G157"/>
    <mergeCell ref="A183:G183"/>
    <mergeCell ref="A40:G40"/>
    <mergeCell ref="A18:G18"/>
    <mergeCell ref="A4:G4"/>
    <mergeCell ref="A173:G173"/>
    <mergeCell ref="A72:G72"/>
    <mergeCell ref="A96:G96"/>
    <mergeCell ref="A147:G147"/>
    <mergeCell ref="A177:G177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2024-03-09T08:08:00Z</dcterms:modified>
</cp:coreProperties>
</file>