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3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201" i="1" l="1"/>
  <c r="I199" i="1"/>
  <c r="I172" i="1"/>
  <c r="I158" i="1"/>
  <c r="I149" i="1"/>
  <c r="I132" i="1"/>
  <c r="I105" i="1"/>
  <c r="F107" i="1"/>
  <c r="H107" i="1" s="1"/>
  <c r="F134" i="1"/>
  <c r="H134" i="1" s="1"/>
  <c r="I70" i="1"/>
  <c r="I107" i="1" l="1"/>
  <c r="I134" i="1"/>
  <c r="H190" i="1"/>
  <c r="F190" i="1"/>
  <c r="H192" i="1"/>
  <c r="F192" i="1"/>
  <c r="H191" i="1"/>
  <c r="F191" i="1"/>
  <c r="H40" i="1"/>
  <c r="F40" i="1"/>
  <c r="H198" i="1"/>
  <c r="F198" i="1"/>
  <c r="H153" i="1"/>
  <c r="F153" i="1"/>
  <c r="I153" i="1" s="1"/>
  <c r="H152" i="1"/>
  <c r="F152" i="1"/>
  <c r="I147" i="1"/>
  <c r="H147" i="1"/>
  <c r="F147" i="1"/>
  <c r="H144" i="1"/>
  <c r="F144" i="1"/>
  <c r="H171" i="1"/>
  <c r="F171" i="1"/>
  <c r="H169" i="1"/>
  <c r="F169" i="1"/>
  <c r="H151" i="1"/>
  <c r="F151" i="1"/>
  <c r="H75" i="1"/>
  <c r="H90" i="1"/>
  <c r="F90" i="1"/>
  <c r="H99" i="1"/>
  <c r="F99" i="1"/>
  <c r="H83" i="1"/>
  <c r="F83" i="1"/>
  <c r="H82" i="1"/>
  <c r="I82" i="1" s="1"/>
  <c r="F82" i="1"/>
  <c r="H81" i="1"/>
  <c r="F81" i="1"/>
  <c r="H156" i="1"/>
  <c r="F156" i="1"/>
  <c r="H154" i="1"/>
  <c r="F154" i="1"/>
  <c r="I109" i="1"/>
  <c r="H109" i="1"/>
  <c r="F109" i="1"/>
  <c r="H128" i="1"/>
  <c r="F128" i="1"/>
  <c r="H120" i="1"/>
  <c r="F120" i="1"/>
  <c r="H27" i="1"/>
  <c r="H197" i="1"/>
  <c r="F197" i="1"/>
  <c r="H196" i="1"/>
  <c r="H49" i="1"/>
  <c r="H92" i="1"/>
  <c r="F92" i="1"/>
  <c r="H100" i="1"/>
  <c r="F100" i="1"/>
  <c r="I59" i="1"/>
  <c r="H59" i="1"/>
  <c r="I37" i="1"/>
  <c r="H43" i="1"/>
  <c r="F43" i="1"/>
  <c r="H42" i="1"/>
  <c r="H41" i="1"/>
  <c r="F41" i="1"/>
  <c r="H72" i="1"/>
  <c r="F72" i="1"/>
  <c r="H69" i="1"/>
  <c r="H68" i="1"/>
  <c r="H67" i="1"/>
  <c r="F67" i="1"/>
  <c r="H37" i="1"/>
  <c r="F37" i="1"/>
  <c r="H74" i="1"/>
  <c r="F74" i="1"/>
  <c r="H73" i="1"/>
  <c r="F73" i="1"/>
  <c r="H57" i="1"/>
  <c r="F57" i="1"/>
  <c r="H56" i="1"/>
  <c r="F56" i="1"/>
  <c r="H39" i="1"/>
  <c r="F39" i="1"/>
  <c r="H54" i="1"/>
  <c r="F54" i="1"/>
  <c r="H52" i="1"/>
  <c r="H51" i="1"/>
  <c r="F51" i="1"/>
  <c r="H64" i="1"/>
  <c r="F64" i="1"/>
  <c r="H63" i="1"/>
  <c r="F63" i="1"/>
  <c r="H53" i="1"/>
  <c r="F53" i="1"/>
  <c r="H194" i="1"/>
  <c r="H50" i="1"/>
  <c r="F50" i="1"/>
  <c r="H60" i="1"/>
  <c r="F59" i="1"/>
  <c r="H165" i="1"/>
  <c r="F165" i="1"/>
  <c r="H164" i="1"/>
  <c r="F164" i="1"/>
  <c r="H77" i="1"/>
  <c r="H76" i="1"/>
  <c r="I83" i="1" l="1"/>
  <c r="I81" i="1"/>
  <c r="H46" i="1"/>
  <c r="F46" i="1"/>
  <c r="H45" i="1"/>
  <c r="F45" i="1"/>
  <c r="H195" i="1"/>
  <c r="H89" i="1"/>
  <c r="F89" i="1"/>
  <c r="H126" i="1"/>
  <c r="F126" i="1"/>
  <c r="H125" i="1"/>
  <c r="F125" i="1"/>
  <c r="H119" i="1"/>
  <c r="F119" i="1"/>
  <c r="H117" i="1"/>
  <c r="F117" i="1"/>
  <c r="H129" i="1"/>
  <c r="F129" i="1"/>
  <c r="H123" i="1"/>
  <c r="H131" i="1"/>
  <c r="H167" i="1"/>
  <c r="F167" i="1"/>
  <c r="H116" i="1"/>
  <c r="F116" i="1"/>
  <c r="H115" i="1"/>
  <c r="F115" i="1"/>
  <c r="H80" i="1"/>
  <c r="F80" i="1"/>
  <c r="H79" i="1"/>
  <c r="F79" i="1"/>
  <c r="F77" i="1"/>
  <c r="F76" i="1"/>
  <c r="K37" i="1"/>
  <c r="H114" i="1"/>
  <c r="F114" i="1"/>
  <c r="H113" i="1"/>
  <c r="F113" i="1"/>
  <c r="H112" i="1"/>
  <c r="F112" i="1"/>
  <c r="H111" i="1"/>
  <c r="F110" i="1"/>
  <c r="H110" i="1" s="1"/>
  <c r="F86" i="1"/>
  <c r="H86" i="1" s="1"/>
  <c r="F85" i="1"/>
  <c r="H85" i="1" s="1"/>
  <c r="K127" i="1"/>
  <c r="K198" i="1"/>
  <c r="F49" i="1"/>
  <c r="H97" i="1"/>
  <c r="F97" i="1"/>
  <c r="H88" i="1"/>
  <c r="F88" i="1"/>
  <c r="H91" i="1"/>
  <c r="F91" i="1"/>
  <c r="H127" i="1"/>
  <c r="F127" i="1"/>
  <c r="H122" i="1"/>
  <c r="F135" i="1"/>
  <c r="H135" i="1" s="1"/>
  <c r="F138" i="1"/>
  <c r="H138" i="1" s="1"/>
  <c r="F139" i="1"/>
  <c r="H139" i="1" s="1"/>
  <c r="K96" i="1"/>
  <c r="K87" i="1"/>
  <c r="K139" i="1"/>
  <c r="K138" i="1"/>
  <c r="K135" i="1"/>
  <c r="K119" i="1"/>
  <c r="K117" i="1"/>
  <c r="K129" i="1"/>
  <c r="K128" i="1"/>
  <c r="K190" i="1"/>
  <c r="K192" i="1"/>
  <c r="K191" i="1"/>
  <c r="K118" i="1"/>
  <c r="K121" i="1"/>
  <c r="K189" i="1"/>
  <c r="F96" i="1"/>
  <c r="H96" i="1" s="1"/>
  <c r="F87" i="1"/>
  <c r="H87" i="1" s="1"/>
  <c r="K200" i="1" l="1"/>
  <c r="I122" i="1"/>
  <c r="F118" i="1"/>
  <c r="H121" i="1"/>
  <c r="F121" i="1"/>
  <c r="F193" i="1" l="1"/>
  <c r="H193" i="1" s="1"/>
  <c r="F65" i="1"/>
  <c r="H65" i="1" l="1"/>
  <c r="I65" i="1" s="1"/>
  <c r="H118" i="1"/>
  <c r="H189" i="1"/>
  <c r="F189" i="1"/>
  <c r="H78" i="1"/>
  <c r="F78" i="1"/>
  <c r="I120" i="1" l="1"/>
  <c r="I27" i="1"/>
  <c r="I197" i="1"/>
  <c r="I196" i="1"/>
  <c r="I92" i="1" l="1"/>
  <c r="I43" i="1"/>
  <c r="I42" i="1"/>
  <c r="I41" i="1"/>
  <c r="I72" i="1"/>
  <c r="I73" i="1"/>
  <c r="I57" i="1"/>
  <c r="I56" i="1"/>
  <c r="I39" i="1"/>
  <c r="I54" i="1"/>
  <c r="I52" i="1"/>
  <c r="I51" i="1"/>
  <c r="I64" i="1"/>
  <c r="I63" i="1"/>
  <c r="I53" i="1"/>
  <c r="I194" i="1"/>
  <c r="I50" i="1"/>
  <c r="I60" i="1"/>
  <c r="I164" i="1"/>
  <c r="H185" i="1"/>
  <c r="F185" i="1"/>
  <c r="I185" i="1"/>
  <c r="I68" i="1" l="1"/>
  <c r="I74" i="1"/>
  <c r="I165" i="1"/>
  <c r="I46" i="1"/>
  <c r="I45" i="1"/>
  <c r="I195" i="1"/>
  <c r="I89" i="1"/>
  <c r="I126" i="1"/>
  <c r="I125" i="1"/>
  <c r="I129" i="1"/>
  <c r="I128" i="1"/>
  <c r="I123" i="1"/>
  <c r="I131" i="1" l="1"/>
  <c r="I80" i="1"/>
  <c r="I114" i="1"/>
  <c r="I111" i="1"/>
  <c r="I112" i="1"/>
  <c r="I116" i="1" l="1"/>
  <c r="I115" i="1"/>
  <c r="I113" i="1"/>
  <c r="I110" i="1"/>
  <c r="I49" i="1"/>
  <c r="I69" i="1"/>
  <c r="I67" i="1"/>
  <c r="I88" i="1"/>
  <c r="I91" i="1"/>
  <c r="I97" i="1" l="1"/>
  <c r="I90" i="1"/>
  <c r="I108" i="1" l="1"/>
  <c r="I119" i="1" l="1"/>
  <c r="I127" i="1" l="1"/>
  <c r="I87" i="1"/>
  <c r="I121" i="1"/>
  <c r="I192" i="1"/>
  <c r="I190" i="1"/>
  <c r="I189" i="1"/>
  <c r="I191" i="1" l="1"/>
  <c r="I152" i="1" l="1"/>
  <c r="I139" i="1"/>
  <c r="I138" i="1"/>
  <c r="I135" i="1"/>
  <c r="I100" i="1"/>
  <c r="I101" i="1"/>
  <c r="I118" i="1"/>
  <c r="I117" i="1"/>
  <c r="I20" i="1"/>
  <c r="I19" i="1"/>
  <c r="I34" i="1" s="1"/>
  <c r="I102" i="1"/>
  <c r="I96" i="1"/>
  <c r="I99" i="1"/>
  <c r="I198" i="1"/>
  <c r="I40" i="1"/>
  <c r="I86" i="1"/>
  <c r="I85" i="1"/>
  <c r="I79" i="1"/>
  <c r="I78" i="1"/>
  <c r="I200" i="1" l="1"/>
  <c r="I155" i="1"/>
  <c r="I151" i="1"/>
  <c r="I104" i="1"/>
  <c r="I171" i="1"/>
  <c r="I186" i="1"/>
  <c r="I187" i="1" s="1"/>
  <c r="I144" i="1"/>
  <c r="I193" i="1"/>
  <c r="I156" i="1"/>
  <c r="I154" i="1"/>
  <c r="I98" i="1" l="1"/>
  <c r="I75" i="1"/>
  <c r="I77" i="1" l="1"/>
  <c r="I76" i="1"/>
  <c r="I167" i="1"/>
  <c r="I169" i="1"/>
  <c r="I178" i="1" l="1"/>
  <c r="I182" i="1" s="1"/>
  <c r="I175" i="1"/>
  <c r="I176" i="1" s="1"/>
</calcChain>
</file>

<file path=xl/sharedStrings.xml><?xml version="1.0" encoding="utf-8"?>
<sst xmlns="http://schemas.openxmlformats.org/spreadsheetml/2006/main" count="664" uniqueCount="260">
  <si>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</si>
  <si>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</si>
  <si>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</si>
  <si>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</si>
  <si>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</si>
  <si>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</si>
  <si>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</si>
  <si>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</si>
  <si>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</si>
  <si>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</si>
  <si>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</si>
  <si>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</si>
  <si>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</si>
  <si>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</si>
  <si>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</si>
  <si>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</si>
  <si>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</si>
  <si>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</si>
  <si>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</si>
  <si>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</si>
  <si>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</si>
  <si>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</si>
  <si>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</si>
  <si>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</si>
  <si>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</si>
  <si>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</si>
  <si>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</si>
  <si>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</si>
  <si>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</si>
  <si>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</si>
  <si>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</si>
  <si>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</si>
  <si>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</si>
  <si>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</si>
  <si>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</si>
  <si>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</si>
  <si>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</si>
  <si>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</si>
  <si>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</si>
  <si>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</si>
  <si>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</si>
  <si>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</si>
  <si>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</si>
  <si>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</si>
  <si>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</si>
  <si>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</si>
  <si>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</si>
  <si>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</si>
  <si>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</si>
  <si>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</si>
  <si>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</si>
  <si>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</si>
  <si>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</si>
  <si>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</si>
  <si>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</si>
  <si>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</si>
  <si>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</si>
  <si>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</si>
  <si>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</si>
  <si>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</si>
  <si>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</si>
  <si>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</si>
  <si>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</si>
  <si>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</si>
  <si>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</si>
  <si>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</si>
  <si>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</si>
  <si>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</si>
  <si>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</si>
  <si>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</si>
  <si>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</si>
  <si>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</si>
  <si>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</si>
  <si>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</si>
  <si>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</si>
  <si>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</si>
  <si>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</si>
  <si>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</si>
  <si>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</si>
  <si>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</si>
  <si>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</si>
  <si>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</si>
  <si>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</si>
  <si>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</si>
  <si>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</si>
  <si>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</si>
  <si>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</si>
  <si>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</si>
  <si>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</si>
  <si>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</si>
  <si>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</si>
  <si>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</si>
  <si>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</si>
  <si>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</si>
  <si>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</si>
  <si>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</si>
  <si>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</si>
  <si>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</si>
  <si>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</si>
  <si>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</si>
  <si>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</si>
  <si>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</si>
  <si>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</si>
  <si>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</si>
  <si>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</si>
  <si>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</si>
  <si>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</si>
  <si>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</si>
  <si>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</si>
  <si>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</si>
  <si>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</si>
  <si>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</si>
  <si>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</si>
  <si>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</si>
  <si>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</si>
  <si>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</si>
  <si>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</si>
  <si>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</si>
  <si>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</si>
  <si>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</si>
  <si>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</si>
  <si>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очистка кровли от снега</t>
  </si>
  <si>
    <t>4 квартал</t>
  </si>
  <si>
    <t>смена трубопроводов из полиэтиленовых труб диам. 100мм</t>
  </si>
  <si>
    <t>2 квартал</t>
  </si>
  <si>
    <t>ремонт и восстановление герметизации горизонтальных и вертикальных стыков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</si>
  <si>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</si>
  <si>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</si>
  <si>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</si>
  <si>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</si>
  <si>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</si>
  <si>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</si>
  <si>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</si>
  <si>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</si>
  <si>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</si>
  <si>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</si>
  <si>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</si>
  <si>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</si>
  <si>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</si>
  <si>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</si>
  <si>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</si>
  <si>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мин</t>
  </si>
  <si>
    <t>каналов</t>
  </si>
  <si>
    <t>−</t>
  </si>
  <si>
    <t>ремонт межпанельных швов</t>
  </si>
  <si>
    <t>смена ламп люминесцентных</t>
  </si>
  <si>
    <t>контроль исправности оборудования и ремонт силового предохранительного шкафа</t>
  </si>
  <si>
    <t>гидропневматическая,гидрохимическая промывка теплообменников</t>
  </si>
  <si>
    <t>услуга</t>
  </si>
  <si>
    <t>демонтаж и монтаж дверей металлических тамбурных</t>
  </si>
  <si>
    <t>установка решеток на приямки</t>
  </si>
  <si>
    <t>кг</t>
  </si>
  <si>
    <t>м</t>
  </si>
  <si>
    <t>благоустройство</t>
  </si>
  <si>
    <t>1 квартал</t>
  </si>
  <si>
    <t>1,3,4квартал</t>
  </si>
  <si>
    <t>ремонт групповых щитков на лестничной клетке со сменой автоматов</t>
  </si>
  <si>
    <t>водоотлив из подвала</t>
  </si>
  <si>
    <t>установка насосов</t>
  </si>
  <si>
    <t>сгон</t>
  </si>
  <si>
    <t>прокладка внутренних трубпроводов водоснабжения и отопления из полипропиленовых труб:диам. 25мм</t>
  </si>
  <si>
    <t>1 врезка</t>
  </si>
  <si>
    <t>ремонт и окраска дверей (восстановление фурнитуры и остекления) шпингалеты</t>
  </si>
  <si>
    <t>ремонт/частичная замена поврежденных участков при помощи альпинистов</t>
  </si>
  <si>
    <t>очистка канализационной сети дворовой</t>
  </si>
  <si>
    <t>демонтаж грязевиков</t>
  </si>
  <si>
    <t>установка хомутов диаметром трубопроводов до 100мм</t>
  </si>
  <si>
    <t>установка грязевиков наружным диам. патрубков до 108мм после прочистки</t>
  </si>
  <si>
    <t>прочистка фильтров диам. 100мм</t>
  </si>
  <si>
    <t>прочистка фильтров диам. 80мм</t>
  </si>
  <si>
    <t>ремонт приемного клапана мусоропровода</t>
  </si>
  <si>
    <t>МОП</t>
  </si>
  <si>
    <t>доплаты уборщицам за уборку МОП</t>
  </si>
  <si>
    <t>мес</t>
  </si>
  <si>
    <t>смена вентилей и клапанов обратных муфтовых диам. до 20мм</t>
  </si>
  <si>
    <t>смена вентилей и клапанов обратных муфтовых диам. до 32мм</t>
  </si>
  <si>
    <t>усиление сварных швов наплавкой</t>
  </si>
  <si>
    <t>1м шва</t>
  </si>
  <si>
    <t>смена автоматов одно-,двух-,трехполюсных,установленных на конструкциях</t>
  </si>
  <si>
    <t>смена кабелей двух-четырехжильных</t>
  </si>
  <si>
    <t>смена розеток</t>
  </si>
  <si>
    <t>ремонт штукатурки гладких фасадов по камню и бетону</t>
  </si>
  <si>
    <t>врезка в действующие сети трубопроводов отопления и водоснабжения диам. 20мм</t>
  </si>
  <si>
    <t>врезка в действующие сети трубопроводов отопления и водоснабжения диам. 15мм</t>
  </si>
  <si>
    <t>установка кранов шаровых на трубопроводах из стальных труб диам.65мм</t>
  </si>
  <si>
    <t>соед.</t>
  </si>
  <si>
    <t>разборка трубопроводов из водогазопроводных труб диам. до 32мм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</si>
  <si>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диам.25мм</t>
  </si>
  <si>
    <t>сборка узла трубопровода водоснабжения и отопления из многослойного полипропилена,армированного стекловолокном,раструбная сварка наружный диам.32мм</t>
  </si>
  <si>
    <t>прокладка внутренних трубпроводов водоснабжения и отопления из полипропиленовых труб:диам. 32мм</t>
  </si>
  <si>
    <t>прокладка внутренних трубпроводов водоснабжения и отопления из полипропиленовых труб:диам. 20мм</t>
  </si>
  <si>
    <t>смена внутренних трубопроводов с заготовкой труб в построечных условиях диам. 20мм</t>
  </si>
  <si>
    <t>смена внутренних трубопроводов с заготовкой труб в построечных условиях диам. 32мм</t>
  </si>
  <si>
    <t>смена внутренних трубопроводов с заготовкой труб в построечных условиях диам. 50мм</t>
  </si>
  <si>
    <t>Всего:</t>
  </si>
  <si>
    <t xml:space="preserve">
Отчет о выполнении работ по текущему ремонту общего имущества 
в многоквартирном доме по адресу: г.Щёлково, ул.Талсинская, дом 21  на 2023 г.
</t>
  </si>
  <si>
    <t>механизированная уборка снега на придомовой территории(JSB )</t>
  </si>
  <si>
    <t>механизированная уборка снега на придомовой территории( МТЗ )</t>
  </si>
  <si>
    <t xml:space="preserve">1 квартал </t>
  </si>
  <si>
    <t xml:space="preserve"> смена кранов на шаровые краны диам.20мм</t>
  </si>
  <si>
    <t xml:space="preserve"> смена кранов на шаровые краны диам.15,20,25,32 мм</t>
  </si>
  <si>
    <t>1,2 квартал</t>
  </si>
  <si>
    <t>врезка в действующие сети трубопроводов отопления и водоснабжения диам. 25мм</t>
  </si>
  <si>
    <t>смена керамических коврово-мозаичных плиток в полах до 10шт.</t>
  </si>
  <si>
    <t>ремонт металлических ограждений средний</t>
  </si>
  <si>
    <t>смена сгонов у трубопроводов диам. 20мм</t>
  </si>
  <si>
    <t>смена внутренних трубопроводов с заготовкой труб в построечных условиях диам.  32мм</t>
  </si>
  <si>
    <t>смена внутренних трубопроводов с заготовкой труб в построечных условиях диам.  20мм</t>
  </si>
  <si>
    <t>врезка в действующие сети трубопроводов отопления и водоснабжения диам. 50мм</t>
  </si>
  <si>
    <t xml:space="preserve"> смена кранов на шаровые краны диам.50мм</t>
  </si>
  <si>
    <t>демонтаж ящиков почтовых</t>
  </si>
  <si>
    <t>установка ящиков почтовых</t>
  </si>
  <si>
    <t>гладкая облицовка стен и откосов на клее из сухих смесей по кирпичу или бетону(лифтовой холл 1,2 подъезда)</t>
  </si>
  <si>
    <t>окраска масляными составами ранее окрашенных больших металлических поверхностей(кроме крыш) за 2 раза</t>
  </si>
  <si>
    <t>установка грязевиков наружным диам. патрубков до 89мм после прочистки</t>
  </si>
  <si>
    <t>комплекс работ  по очистке и промывке теплообменника с разборкой и сборкой</t>
  </si>
  <si>
    <t>установка гидромуфты</t>
  </si>
  <si>
    <t>демонтаж насосов</t>
  </si>
  <si>
    <t>установка фланцевых соединений на стальных трубопроводах диам. 100мм</t>
  </si>
  <si>
    <t>врезка в действующие сети трубопроводов отопления и водоснабжения диам. 100мм</t>
  </si>
  <si>
    <t>справка о техническом состоянии здания</t>
  </si>
  <si>
    <t>изготовление и установка окон ПВХ подъезд №1</t>
  </si>
  <si>
    <t>замена гибкой подводки кв 116,34</t>
  </si>
  <si>
    <t>короба пластмассовые шириной до 40мм</t>
  </si>
  <si>
    <t>короба пластмассовые шириной до 63мм</t>
  </si>
  <si>
    <t>демонтаж приемного клапана мусоропровода</t>
  </si>
  <si>
    <t>монтаж приемного клапана мусоропровода</t>
  </si>
  <si>
    <t>улучшенная масляная окраска ранее окрашенных окон за 2 раза</t>
  </si>
  <si>
    <t>улучшенная масляная окраска ранее окрашенных стен  за 2 раза(откосы)</t>
  </si>
  <si>
    <t>погрузка строительного мусора в контейнер</t>
  </si>
  <si>
    <t>т</t>
  </si>
  <si>
    <t>ремонт штукатурки откосов</t>
  </si>
  <si>
    <t>очистка вручную поверхности потолков от перхлорвиниловых красок с земли и лесов</t>
  </si>
  <si>
    <t>окраска водно-дисперсионными акриловыми составами улучшенная по штукатурке потолков</t>
  </si>
  <si>
    <t>очистка вручную поверхности стен от перхлорвиниловых красок с земли и лесов</t>
  </si>
  <si>
    <t>окраска водно-дисперсионными акриловыми составами улучшенная по штукатурке стен</t>
  </si>
  <si>
    <t>улучшенная масляная окраска ранее окрашенных стен за 2 раза с расчисткой старой краски до 10%(сапожок)</t>
  </si>
  <si>
    <t>улучшенная масляная окраска ранее окрашенных дверей за 2 раза с расчисткой старой краски до 10%</t>
  </si>
  <si>
    <t>окраска масляными составами ранее окрашенных металлических решеток без рельефа за 2 раза</t>
  </si>
  <si>
    <t xml:space="preserve"> м2</t>
  </si>
  <si>
    <t>окраска масляными составами ранее окрашенных поверхностей труб стальных за 2 раза</t>
  </si>
  <si>
    <t>окраска масляными составами ранее окрашенных поверхностей радиатров отопления  за 2 раза</t>
  </si>
  <si>
    <t>смена замков</t>
  </si>
  <si>
    <t>установка декоративного экрана</t>
  </si>
  <si>
    <t>установка и крепление наличников</t>
  </si>
  <si>
    <t>ремонт дверных полотен</t>
  </si>
  <si>
    <t>брусков</t>
  </si>
  <si>
    <t>смена оконных приборов ручки</t>
  </si>
  <si>
    <t>смена внутренних трубопроводов из стальных труб диам.  100мм</t>
  </si>
  <si>
    <t>экпертно-консультационные услуги по проверке правильности составления сметной документации на ремонт подъездов многоквартирного жилого дома</t>
  </si>
  <si>
    <t>расшивка трещины</t>
  </si>
  <si>
    <t>установка дверного доводчика</t>
  </si>
  <si>
    <t>оказание услуг по осуществлению строительного контроля  при выполнении работ по капитальному ремонту подъездов</t>
  </si>
  <si>
    <t>смена сгонов у трубопроводов диам.32 мм</t>
  </si>
  <si>
    <t>смена сгонов у трубопроводов диам.20 мм</t>
  </si>
  <si>
    <t>простая масляная окраска ранее окрашенных стен с подготовкой и расчисткой старой краски д 10%(торцы л/маршей)</t>
  </si>
  <si>
    <t>смена кранов шаровых диам. 15мм</t>
  </si>
  <si>
    <t>смена трубопроводов из полиэтиленовых труб диам. 50мм</t>
  </si>
  <si>
    <t>Текущий ремонт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</si>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</sst>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2" fontId="8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17" fontId="1" fillId="0" borderId="3" xfId="0" applyNumberFormat="1" applyFont="1" applyBorder="1" applyAlignment="1">
      <alignment horizontal="center" vertical="center"/>
    </xf>
    <xf numFmtId="0" fontId="9" fillId="0" borderId="1" xfId="0" applyFont="1" applyBorder="1"/>
    <xf numFmtId="2" fontId="1" fillId="0" borderId="4" xfId="0" applyNumberFormat="1" applyFont="1" applyBorder="1" applyAlignment="1">
      <alignment horizontal="center" vertical="center"/>
    </xf>
    <xf numFmtId="2" fontId="1" fillId="0" borderId="0" xfId="0" applyNumberFormat="1" applyFont="1" applyAlignment="1"/>
    <xf numFmtId="164" fontId="1" fillId="0" borderId="0" xfId="0" applyNumberFormat="1" applyFont="1" applyAlignment="1"/>
    <xf numFmtId="0" fontId="8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2" fontId="1" fillId="0" borderId="0" xfId="0" applyNumberFormat="1" applyFont="1"/>
    <xf numFmtId="0" fontId="5" fillId="0" borderId="1" xfId="0" applyFont="1" applyBorder="1" applyAlignment="1">
      <alignment horizontal="left"/>
    </xf>
    <xf numFmtId="2" fontId="9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8"/>
  <sheetViews>
    <sheetView tabSelected="1" topLeftCell="A199" zoomScale="91" zoomScaleNormal="91" workbookViewId="0">
      <selection activeCell="A205" sqref="A205:H208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77" t="s">
        <v>97</v>
      </c>
      <c r="J1" s="77"/>
    </row>
    <row r="2" spans="1:12" ht="70.5" customHeight="1" x14ac:dyDescent="0.25">
      <c r="A2" s="72" t="s">
        <v>195</v>
      </c>
      <c r="B2" s="73"/>
      <c r="C2" s="73"/>
      <c r="D2" s="73"/>
      <c r="E2" s="73"/>
      <c r="F2" s="73"/>
      <c r="G2" s="73"/>
      <c r="H2" s="73"/>
      <c r="I2" s="73"/>
      <c r="J2" s="73"/>
      <c r="K2" s="2"/>
      <c r="L2" s="2"/>
    </row>
    <row r="3" spans="1:12" ht="75" x14ac:dyDescent="0.25">
      <c r="A3" s="20" t="s">
        <v>83</v>
      </c>
      <c r="B3" s="3"/>
      <c r="C3" s="3"/>
      <c r="D3" s="20" t="s">
        <v>101</v>
      </c>
      <c r="E3" s="20" t="s">
        <v>105</v>
      </c>
      <c r="F3" s="21" t="s">
        <v>103</v>
      </c>
      <c r="G3" s="21" t="s">
        <v>82</v>
      </c>
      <c r="H3" s="21" t="s">
        <v>81</v>
      </c>
      <c r="I3" s="21" t="s">
        <v>102</v>
      </c>
      <c r="J3" s="21" t="s">
        <v>104</v>
      </c>
      <c r="K3" s="2"/>
      <c r="L3" s="2"/>
    </row>
    <row r="4" spans="1:12" ht="18.75" x14ac:dyDescent="0.3">
      <c r="A4" s="78" t="s">
        <v>89</v>
      </c>
      <c r="B4" s="79"/>
      <c r="C4" s="79"/>
      <c r="D4" s="79"/>
      <c r="E4" s="79"/>
      <c r="F4" s="79"/>
      <c r="G4" s="80"/>
      <c r="H4" s="10"/>
      <c r="I4" s="10"/>
      <c r="J4" s="11"/>
      <c r="K4" s="2"/>
      <c r="L4" s="2"/>
    </row>
    <row r="5" spans="1:12" ht="32.25" x14ac:dyDescent="0.3">
      <c r="A5" s="6" t="s">
        <v>0</v>
      </c>
      <c r="B5" s="5"/>
      <c r="C5" s="4"/>
      <c r="D5" s="15" t="s">
        <v>125</v>
      </c>
      <c r="E5" s="42" t="s">
        <v>143</v>
      </c>
      <c r="F5" s="42" t="s">
        <v>143</v>
      </c>
      <c r="G5" s="13" t="s">
        <v>114</v>
      </c>
      <c r="H5" s="42" t="s">
        <v>143</v>
      </c>
      <c r="I5" s="42" t="s">
        <v>143</v>
      </c>
      <c r="J5" s="13"/>
      <c r="K5" s="2"/>
      <c r="L5" s="2"/>
    </row>
    <row r="6" spans="1:12" ht="18.75" x14ac:dyDescent="0.3">
      <c r="A6" s="6"/>
      <c r="B6" s="5"/>
      <c r="C6" s="4"/>
      <c r="D6" s="15" t="s">
        <v>121</v>
      </c>
      <c r="E6" s="42"/>
      <c r="F6" s="42"/>
      <c r="G6" s="13" t="s">
        <v>114</v>
      </c>
      <c r="H6" s="42"/>
      <c r="I6" s="42"/>
      <c r="J6" s="13"/>
      <c r="K6" s="2"/>
      <c r="L6" s="2"/>
    </row>
    <row r="7" spans="1:12" ht="35.25" customHeight="1" x14ac:dyDescent="0.3">
      <c r="A7" s="6" t="s">
        <v>1</v>
      </c>
      <c r="B7" s="5"/>
      <c r="C7" s="4"/>
      <c r="D7" s="15" t="s">
        <v>163</v>
      </c>
      <c r="E7" s="42"/>
      <c r="F7" s="42"/>
      <c r="G7" s="13" t="s">
        <v>30</v>
      </c>
      <c r="H7" s="42"/>
      <c r="I7" s="42"/>
      <c r="J7" s="13"/>
      <c r="K7" s="2"/>
      <c r="L7" s="2"/>
    </row>
    <row r="8" spans="1:12" ht="28.5" customHeight="1" x14ac:dyDescent="0.3">
      <c r="A8" s="6" t="s">
        <v>2</v>
      </c>
      <c r="B8" s="5"/>
      <c r="C8" s="4"/>
      <c r="D8" s="15" t="s">
        <v>39</v>
      </c>
      <c r="E8" s="42" t="s">
        <v>143</v>
      </c>
      <c r="F8" s="42" t="s">
        <v>143</v>
      </c>
      <c r="G8" s="13" t="s">
        <v>30</v>
      </c>
      <c r="H8" s="42" t="s">
        <v>143</v>
      </c>
      <c r="I8" s="42" t="s">
        <v>143</v>
      </c>
      <c r="J8" s="13"/>
      <c r="K8" s="2"/>
      <c r="L8" s="2"/>
    </row>
    <row r="9" spans="1:12" ht="18.75" x14ac:dyDescent="0.3">
      <c r="A9" s="7" t="s">
        <v>3</v>
      </c>
      <c r="B9" s="5"/>
      <c r="C9" s="4"/>
      <c r="D9" s="15" t="s">
        <v>38</v>
      </c>
      <c r="E9" s="42" t="s">
        <v>143</v>
      </c>
      <c r="F9" s="42" t="s">
        <v>143</v>
      </c>
      <c r="G9" s="13" t="s">
        <v>30</v>
      </c>
      <c r="H9" s="42" t="s">
        <v>143</v>
      </c>
      <c r="I9" s="42" t="s">
        <v>143</v>
      </c>
      <c r="J9" s="13"/>
      <c r="K9" s="2"/>
      <c r="L9" s="2"/>
    </row>
    <row r="10" spans="1:12" ht="32.25" x14ac:dyDescent="0.3">
      <c r="A10" s="6" t="s">
        <v>4</v>
      </c>
      <c r="B10" s="5"/>
      <c r="C10" s="4"/>
      <c r="D10" s="15" t="s">
        <v>37</v>
      </c>
      <c r="E10" s="42" t="s">
        <v>143</v>
      </c>
      <c r="F10" s="42" t="s">
        <v>143</v>
      </c>
      <c r="G10" s="13" t="s">
        <v>30</v>
      </c>
      <c r="H10" s="42" t="s">
        <v>143</v>
      </c>
      <c r="I10" s="42" t="s">
        <v>143</v>
      </c>
      <c r="J10" s="13"/>
      <c r="K10" s="2"/>
      <c r="L10" s="2"/>
    </row>
    <row r="11" spans="1:12" ht="18.75" x14ac:dyDescent="0.3">
      <c r="A11" s="6" t="s">
        <v>5</v>
      </c>
      <c r="B11" s="5"/>
      <c r="C11" s="4"/>
      <c r="D11" s="4" t="s">
        <v>88</v>
      </c>
      <c r="E11" s="42" t="s">
        <v>143</v>
      </c>
      <c r="F11" s="42" t="s">
        <v>143</v>
      </c>
      <c r="G11" s="13" t="s">
        <v>31</v>
      </c>
      <c r="H11" s="42" t="s">
        <v>143</v>
      </c>
      <c r="I11" s="42" t="s">
        <v>143</v>
      </c>
      <c r="J11" s="13"/>
      <c r="K11" s="2"/>
      <c r="L11" s="2"/>
    </row>
    <row r="12" spans="1:12" ht="37.5" x14ac:dyDescent="0.3">
      <c r="A12" s="6" t="s">
        <v>6</v>
      </c>
      <c r="B12" s="5"/>
      <c r="C12" s="4"/>
      <c r="D12" s="4" t="s">
        <v>36</v>
      </c>
      <c r="E12" s="42" t="s">
        <v>143</v>
      </c>
      <c r="F12" s="42" t="s">
        <v>143</v>
      </c>
      <c r="G12" s="14" t="s">
        <v>31</v>
      </c>
      <c r="H12" s="42" t="s">
        <v>143</v>
      </c>
      <c r="I12" s="42" t="s">
        <v>143</v>
      </c>
      <c r="J12" s="13"/>
      <c r="K12" s="2"/>
      <c r="L12" s="2"/>
    </row>
    <row r="13" spans="1:12" ht="32.25" x14ac:dyDescent="0.3">
      <c r="A13" s="6" t="s">
        <v>64</v>
      </c>
      <c r="B13" s="5"/>
      <c r="C13" s="4"/>
      <c r="D13" s="15" t="s">
        <v>53</v>
      </c>
      <c r="E13" s="42" t="s">
        <v>143</v>
      </c>
      <c r="F13" s="42" t="s">
        <v>143</v>
      </c>
      <c r="G13" s="13" t="s">
        <v>30</v>
      </c>
      <c r="H13" s="42" t="s">
        <v>143</v>
      </c>
      <c r="I13" s="42" t="s">
        <v>143</v>
      </c>
      <c r="J13" s="13"/>
      <c r="L13" s="2"/>
    </row>
    <row r="14" spans="1:12" ht="27" customHeight="1" x14ac:dyDescent="0.3">
      <c r="A14" s="6" t="s">
        <v>7</v>
      </c>
      <c r="B14" s="5"/>
      <c r="C14" s="4"/>
      <c r="D14" s="15" t="s">
        <v>34</v>
      </c>
      <c r="E14" s="42" t="s">
        <v>143</v>
      </c>
      <c r="F14" s="42" t="s">
        <v>143</v>
      </c>
      <c r="G14" s="13" t="s">
        <v>30</v>
      </c>
      <c r="H14" s="42" t="s">
        <v>143</v>
      </c>
      <c r="I14" s="42" t="s">
        <v>143</v>
      </c>
      <c r="J14" s="13"/>
      <c r="K14" s="2"/>
      <c r="L14" s="2"/>
    </row>
    <row r="15" spans="1:12" ht="27" customHeight="1" x14ac:dyDescent="0.3">
      <c r="A15" s="28"/>
      <c r="B15" s="22"/>
      <c r="C15" s="22"/>
      <c r="D15" s="30"/>
      <c r="E15" s="46"/>
      <c r="F15" s="46"/>
      <c r="G15" s="31"/>
      <c r="H15" s="42"/>
      <c r="I15" s="42"/>
      <c r="J15" s="13"/>
      <c r="K15" s="2"/>
      <c r="L15" s="2"/>
    </row>
    <row r="16" spans="1:12" ht="18.75" x14ac:dyDescent="0.3">
      <c r="A16" s="78" t="s">
        <v>57</v>
      </c>
      <c r="B16" s="79"/>
      <c r="C16" s="79"/>
      <c r="D16" s="79"/>
      <c r="E16" s="79"/>
      <c r="F16" s="79"/>
      <c r="G16" s="80"/>
      <c r="H16" s="14"/>
      <c r="I16" s="5"/>
      <c r="J16" s="13"/>
      <c r="L16" s="2"/>
    </row>
    <row r="17" spans="1:12" ht="18.75" x14ac:dyDescent="0.3">
      <c r="A17" s="6" t="s">
        <v>19</v>
      </c>
      <c r="B17" s="5"/>
      <c r="C17" s="4"/>
      <c r="D17" s="4" t="s">
        <v>96</v>
      </c>
      <c r="E17" s="42" t="s">
        <v>143</v>
      </c>
      <c r="F17" s="42" t="s">
        <v>143</v>
      </c>
      <c r="G17" s="14" t="s">
        <v>55</v>
      </c>
      <c r="H17" s="42" t="s">
        <v>143</v>
      </c>
      <c r="I17" s="42" t="s">
        <v>143</v>
      </c>
      <c r="J17" s="13"/>
      <c r="L17" s="2"/>
    </row>
    <row r="18" spans="1:12" ht="18.75" x14ac:dyDescent="0.3">
      <c r="A18" s="6" t="s">
        <v>13</v>
      </c>
      <c r="B18" s="5"/>
      <c r="C18" s="4"/>
      <c r="D18" s="4" t="s">
        <v>42</v>
      </c>
      <c r="E18" s="42" t="s">
        <v>143</v>
      </c>
      <c r="F18" s="42" t="s">
        <v>143</v>
      </c>
      <c r="G18" s="14" t="s">
        <v>54</v>
      </c>
      <c r="H18" s="42" t="s">
        <v>143</v>
      </c>
      <c r="I18" s="42" t="s">
        <v>143</v>
      </c>
      <c r="J18" s="13"/>
      <c r="L18" s="2"/>
    </row>
    <row r="19" spans="1:12" ht="18.75" x14ac:dyDescent="0.3">
      <c r="A19" s="6" t="s">
        <v>9</v>
      </c>
      <c r="B19" s="5"/>
      <c r="C19" s="4"/>
      <c r="D19" s="4" t="s">
        <v>35</v>
      </c>
      <c r="E19" s="42"/>
      <c r="F19" s="42"/>
      <c r="G19" s="14" t="s">
        <v>54</v>
      </c>
      <c r="H19" s="42"/>
      <c r="I19" s="42">
        <f>F19*H19</f>
        <v>0</v>
      </c>
      <c r="J19" s="13" t="s">
        <v>122</v>
      </c>
      <c r="K19" s="2"/>
      <c r="L19" s="2"/>
    </row>
    <row r="20" spans="1:12" ht="32.25" x14ac:dyDescent="0.3">
      <c r="A20" s="6"/>
      <c r="B20" s="5"/>
      <c r="C20" s="4"/>
      <c r="D20" s="15" t="s">
        <v>181</v>
      </c>
      <c r="E20" s="42"/>
      <c r="F20" s="42"/>
      <c r="G20" s="14" t="s">
        <v>91</v>
      </c>
      <c r="H20" s="42"/>
      <c r="I20" s="42">
        <f>F20*H20</f>
        <v>0</v>
      </c>
      <c r="J20" s="13" t="s">
        <v>122</v>
      </c>
      <c r="K20" s="2"/>
      <c r="L20" s="2"/>
    </row>
    <row r="21" spans="1:12" ht="18.75" x14ac:dyDescent="0.3">
      <c r="A21" s="6" t="s">
        <v>10</v>
      </c>
      <c r="B21" s="5"/>
      <c r="C21" s="4"/>
      <c r="D21" s="4" t="s">
        <v>33</v>
      </c>
      <c r="E21" s="42" t="s">
        <v>143</v>
      </c>
      <c r="F21" s="42" t="s">
        <v>143</v>
      </c>
      <c r="G21" s="14" t="s">
        <v>54</v>
      </c>
      <c r="H21" s="42" t="s">
        <v>143</v>
      </c>
      <c r="I21" s="42" t="s">
        <v>143</v>
      </c>
      <c r="J21" s="13"/>
      <c r="K21" s="2"/>
      <c r="L21" s="2"/>
    </row>
    <row r="22" spans="1:12" ht="18.75" x14ac:dyDescent="0.3">
      <c r="A22" s="6" t="s">
        <v>11</v>
      </c>
      <c r="B22" s="5"/>
      <c r="C22" s="4"/>
      <c r="D22" s="4" t="s">
        <v>40</v>
      </c>
      <c r="E22" s="42" t="s">
        <v>143</v>
      </c>
      <c r="F22" s="42" t="s">
        <v>143</v>
      </c>
      <c r="G22" s="14" t="s">
        <v>54</v>
      </c>
      <c r="H22" s="42" t="s">
        <v>143</v>
      </c>
      <c r="I22" s="42" t="s">
        <v>143</v>
      </c>
      <c r="J22" s="13"/>
      <c r="K22" s="2"/>
      <c r="L22" s="2"/>
    </row>
    <row r="23" spans="1:12" ht="18.75" x14ac:dyDescent="0.3">
      <c r="A23" s="6"/>
      <c r="B23" s="5"/>
      <c r="C23" s="4"/>
      <c r="D23" s="4" t="s">
        <v>150</v>
      </c>
      <c r="E23" s="42" t="s">
        <v>143</v>
      </c>
      <c r="F23" s="42" t="s">
        <v>143</v>
      </c>
      <c r="G23" s="14" t="s">
        <v>151</v>
      </c>
      <c r="H23" s="42" t="s">
        <v>143</v>
      </c>
      <c r="I23" s="42" t="s">
        <v>143</v>
      </c>
      <c r="J23" s="13"/>
      <c r="K23" s="2"/>
      <c r="L23" s="2"/>
    </row>
    <row r="24" spans="1:12" ht="18.75" x14ac:dyDescent="0.3">
      <c r="A24" s="6" t="s">
        <v>8</v>
      </c>
      <c r="B24" s="5"/>
      <c r="C24" s="4"/>
      <c r="D24" s="4" t="s">
        <v>32</v>
      </c>
      <c r="E24" s="42" t="s">
        <v>143</v>
      </c>
      <c r="F24" s="42" t="s">
        <v>143</v>
      </c>
      <c r="G24" s="13" t="s">
        <v>30</v>
      </c>
      <c r="H24" s="42" t="s">
        <v>143</v>
      </c>
      <c r="I24" s="42" t="s">
        <v>143</v>
      </c>
      <c r="J24" s="13"/>
      <c r="K24" s="2"/>
      <c r="L24" s="2"/>
    </row>
    <row r="25" spans="1:12" ht="24.75" customHeight="1" x14ac:dyDescent="0.3">
      <c r="A25" s="6" t="s">
        <v>12</v>
      </c>
      <c r="B25" s="5"/>
      <c r="C25" s="4"/>
      <c r="D25" s="15" t="s">
        <v>41</v>
      </c>
      <c r="E25" s="42" t="s">
        <v>143</v>
      </c>
      <c r="F25" s="42" t="s">
        <v>143</v>
      </c>
      <c r="G25" s="14" t="s">
        <v>54</v>
      </c>
      <c r="H25" s="42" t="s">
        <v>143</v>
      </c>
      <c r="I25" s="42" t="s">
        <v>143</v>
      </c>
      <c r="J25" s="13"/>
      <c r="K25" s="2"/>
      <c r="L25" s="2"/>
    </row>
    <row r="26" spans="1:12" ht="18.75" x14ac:dyDescent="0.3">
      <c r="A26" s="6" t="s">
        <v>56</v>
      </c>
      <c r="B26" s="5"/>
      <c r="C26" s="4"/>
      <c r="D26" s="15" t="s">
        <v>144</v>
      </c>
      <c r="E26" s="42" t="s">
        <v>143</v>
      </c>
      <c r="F26" s="42" t="s">
        <v>143</v>
      </c>
      <c r="G26" s="14" t="s">
        <v>30</v>
      </c>
      <c r="H26" s="42" t="s">
        <v>143</v>
      </c>
      <c r="I26" s="42" t="s">
        <v>143</v>
      </c>
      <c r="J26" s="13"/>
      <c r="L26" s="2"/>
    </row>
    <row r="27" spans="1:12" ht="18.75" x14ac:dyDescent="0.3">
      <c r="A27" s="6"/>
      <c r="B27" s="5"/>
      <c r="C27" s="4"/>
      <c r="D27" s="15" t="s">
        <v>250</v>
      </c>
      <c r="E27" s="42"/>
      <c r="F27" s="42">
        <v>1</v>
      </c>
      <c r="G27" s="14" t="s">
        <v>148</v>
      </c>
      <c r="H27" s="42">
        <f>10000/F27</f>
        <v>10000</v>
      </c>
      <c r="I27" s="61">
        <f>F27*H27</f>
        <v>10000</v>
      </c>
      <c r="J27" s="13"/>
      <c r="L27" s="2"/>
    </row>
    <row r="28" spans="1:12" ht="32.25" x14ac:dyDescent="0.3">
      <c r="A28" s="6" t="s">
        <v>58</v>
      </c>
      <c r="B28" s="5"/>
      <c r="C28" s="4"/>
      <c r="D28" s="15" t="s">
        <v>95</v>
      </c>
      <c r="E28" s="42" t="s">
        <v>143</v>
      </c>
      <c r="F28" s="42" t="s">
        <v>143</v>
      </c>
      <c r="G28" s="14" t="s">
        <v>54</v>
      </c>
      <c r="H28" s="42" t="s">
        <v>143</v>
      </c>
      <c r="I28" s="42" t="s">
        <v>143</v>
      </c>
      <c r="J28" s="13"/>
      <c r="L28" s="2"/>
    </row>
    <row r="29" spans="1:12" ht="32.25" x14ac:dyDescent="0.3">
      <c r="A29" s="6" t="s">
        <v>14</v>
      </c>
      <c r="B29" s="5"/>
      <c r="C29" s="4"/>
      <c r="D29" s="15" t="s">
        <v>94</v>
      </c>
      <c r="E29" s="42" t="s">
        <v>143</v>
      </c>
      <c r="F29" s="42" t="s">
        <v>143</v>
      </c>
      <c r="G29" s="14" t="s">
        <v>55</v>
      </c>
      <c r="H29" s="42" t="s">
        <v>143</v>
      </c>
      <c r="I29" s="42" t="s">
        <v>143</v>
      </c>
      <c r="J29" s="13"/>
      <c r="L29" s="2"/>
    </row>
    <row r="30" spans="1:12" ht="18.75" x14ac:dyDescent="0.3">
      <c r="A30" s="6" t="s">
        <v>15</v>
      </c>
      <c r="B30" s="5"/>
      <c r="C30" s="4"/>
      <c r="D30" s="4" t="s">
        <v>43</v>
      </c>
      <c r="E30" s="42" t="s">
        <v>143</v>
      </c>
      <c r="F30" s="42" t="s">
        <v>143</v>
      </c>
      <c r="G30" s="14" t="s">
        <v>55</v>
      </c>
      <c r="H30" s="42" t="s">
        <v>143</v>
      </c>
      <c r="I30" s="42" t="s">
        <v>143</v>
      </c>
      <c r="J30" s="13"/>
      <c r="L30" s="2"/>
    </row>
    <row r="31" spans="1:12" ht="18.75" x14ac:dyDescent="0.3">
      <c r="A31" s="6" t="s">
        <v>16</v>
      </c>
      <c r="B31" s="5"/>
      <c r="C31" s="4"/>
      <c r="D31" s="4" t="s">
        <v>44</v>
      </c>
      <c r="E31" s="42" t="s">
        <v>143</v>
      </c>
      <c r="F31" s="42" t="s">
        <v>143</v>
      </c>
      <c r="G31" s="14" t="s">
        <v>54</v>
      </c>
      <c r="H31" s="42" t="s">
        <v>143</v>
      </c>
      <c r="I31" s="42" t="s">
        <v>143</v>
      </c>
      <c r="J31" s="13"/>
      <c r="L31" s="2"/>
    </row>
    <row r="32" spans="1:12" ht="18.75" x14ac:dyDescent="0.3">
      <c r="A32" s="6" t="s">
        <v>17</v>
      </c>
      <c r="B32" s="5"/>
      <c r="C32" s="4"/>
      <c r="D32" s="4" t="s">
        <v>45</v>
      </c>
      <c r="E32" s="42" t="s">
        <v>143</v>
      </c>
      <c r="F32" s="42" t="s">
        <v>143</v>
      </c>
      <c r="G32" s="13" t="s">
        <v>30</v>
      </c>
      <c r="H32" s="42" t="s">
        <v>143</v>
      </c>
      <c r="I32" s="42" t="s">
        <v>143</v>
      </c>
      <c r="J32" s="13"/>
      <c r="L32" s="2"/>
    </row>
    <row r="33" spans="1:12" ht="18.75" x14ac:dyDescent="0.3">
      <c r="A33" s="6" t="s">
        <v>18</v>
      </c>
      <c r="B33" s="5"/>
      <c r="C33" s="4"/>
      <c r="D33" s="4" t="s">
        <v>46</v>
      </c>
      <c r="E33" s="42" t="s">
        <v>143</v>
      </c>
      <c r="F33" s="42" t="s">
        <v>143</v>
      </c>
      <c r="G33" s="14" t="s">
        <v>55</v>
      </c>
      <c r="H33" s="42" t="s">
        <v>143</v>
      </c>
      <c r="I33" s="42" t="s">
        <v>143</v>
      </c>
      <c r="J33" s="13"/>
      <c r="L33" s="2"/>
    </row>
    <row r="34" spans="1:12" ht="18.75" x14ac:dyDescent="0.3">
      <c r="A34" s="28"/>
      <c r="B34" s="22"/>
      <c r="C34" s="22"/>
      <c r="D34" s="22"/>
      <c r="E34" s="46"/>
      <c r="F34" s="46"/>
      <c r="G34" s="12"/>
      <c r="H34" s="42"/>
      <c r="I34" s="42">
        <f>SUM(I19:I33)</f>
        <v>10000</v>
      </c>
      <c r="J34" s="13"/>
      <c r="L34" s="2"/>
    </row>
    <row r="35" spans="1:12" ht="24" customHeight="1" x14ac:dyDescent="0.3">
      <c r="A35" s="78" t="s">
        <v>87</v>
      </c>
      <c r="B35" s="79"/>
      <c r="C35" s="79"/>
      <c r="D35" s="79"/>
      <c r="E35" s="79"/>
      <c r="F35" s="79"/>
      <c r="G35" s="80"/>
      <c r="H35" s="14"/>
      <c r="I35" s="5"/>
      <c r="J35" s="13"/>
      <c r="L35" s="2"/>
    </row>
    <row r="36" spans="1:12" ht="32.25" customHeight="1" x14ac:dyDescent="0.3">
      <c r="A36" s="6" t="s">
        <v>50</v>
      </c>
      <c r="B36" s="5"/>
      <c r="C36" s="4"/>
      <c r="D36" s="15" t="s">
        <v>162</v>
      </c>
      <c r="E36" s="32"/>
      <c r="F36" s="13"/>
      <c r="G36" s="38" t="s">
        <v>31</v>
      </c>
      <c r="H36" s="13"/>
      <c r="I36" s="13"/>
      <c r="J36" s="13"/>
      <c r="L36" s="2"/>
    </row>
    <row r="37" spans="1:12" ht="32.25" customHeight="1" x14ac:dyDescent="0.3">
      <c r="A37" s="6"/>
      <c r="B37" s="5"/>
      <c r="C37" s="4"/>
      <c r="D37" s="15" t="s">
        <v>213</v>
      </c>
      <c r="E37" s="42"/>
      <c r="F37" s="42">
        <f>8+93.74</f>
        <v>101.74</v>
      </c>
      <c r="G37" s="13" t="s">
        <v>114</v>
      </c>
      <c r="H37" s="49">
        <f>(1539+18497.6)/F37</f>
        <v>196.93925692942796</v>
      </c>
      <c r="I37" s="61">
        <f>F37*H37</f>
        <v>20036.599999999999</v>
      </c>
      <c r="J37" s="13" t="s">
        <v>124</v>
      </c>
      <c r="K37" s="1">
        <f>1539</f>
        <v>1539</v>
      </c>
      <c r="L37" s="2"/>
    </row>
    <row r="38" spans="1:12" ht="32.25" customHeight="1" x14ac:dyDescent="0.3">
      <c r="A38" s="6"/>
      <c r="B38" s="5"/>
      <c r="C38" s="4"/>
      <c r="D38" s="15" t="s">
        <v>149</v>
      </c>
      <c r="E38" s="42"/>
      <c r="F38" s="42"/>
      <c r="G38" s="13" t="s">
        <v>31</v>
      </c>
      <c r="H38" s="42"/>
      <c r="I38" s="42" t="s">
        <v>143</v>
      </c>
      <c r="J38" s="13"/>
      <c r="L38" s="2"/>
    </row>
    <row r="39" spans="1:12" ht="32.25" customHeight="1" x14ac:dyDescent="0.3">
      <c r="A39" s="6"/>
      <c r="B39" s="5"/>
      <c r="C39" s="4"/>
      <c r="D39" s="15" t="s">
        <v>237</v>
      </c>
      <c r="E39" s="42"/>
      <c r="F39" s="42">
        <f>38.4</f>
        <v>38.4</v>
      </c>
      <c r="G39" s="13" t="s">
        <v>114</v>
      </c>
      <c r="H39" s="49">
        <f>16622.2/F39</f>
        <v>432.86979166666669</v>
      </c>
      <c r="I39" s="61">
        <f>F39*H39</f>
        <v>16622.2</v>
      </c>
      <c r="J39" s="13" t="s">
        <v>119</v>
      </c>
      <c r="L39" s="2"/>
    </row>
    <row r="40" spans="1:12" ht="32.25" customHeight="1" x14ac:dyDescent="0.3">
      <c r="A40" s="6"/>
      <c r="B40" s="5"/>
      <c r="C40" s="4"/>
      <c r="D40" s="15" t="s">
        <v>251</v>
      </c>
      <c r="E40" s="32"/>
      <c r="F40" s="31">
        <f>1+1+1</f>
        <v>3</v>
      </c>
      <c r="G40" s="13" t="s">
        <v>31</v>
      </c>
      <c r="H40" s="31">
        <f>(1397.2+3590.8+3590.8)/F40</f>
        <v>2859.6</v>
      </c>
      <c r="I40" s="62">
        <f>F40*H40</f>
        <v>8578.7999999999993</v>
      </c>
      <c r="J40" s="13" t="s">
        <v>122</v>
      </c>
      <c r="L40" s="2"/>
    </row>
    <row r="41" spans="1:12" ht="32.25" customHeight="1" x14ac:dyDescent="0.3">
      <c r="A41" s="6"/>
      <c r="B41" s="5"/>
      <c r="C41" s="4"/>
      <c r="D41" s="15" t="s">
        <v>244</v>
      </c>
      <c r="E41" s="32"/>
      <c r="F41" s="31">
        <f>4.4</f>
        <v>4.4000000000000004</v>
      </c>
      <c r="G41" s="13" t="s">
        <v>152</v>
      </c>
      <c r="H41" s="58">
        <f>586.4/F41</f>
        <v>133.27272727272725</v>
      </c>
      <c r="I41" s="62">
        <f>F41*H41</f>
        <v>586.4</v>
      </c>
      <c r="J41" s="13" t="s">
        <v>119</v>
      </c>
      <c r="L41" s="2"/>
    </row>
    <row r="42" spans="1:12" ht="32.25" customHeight="1" x14ac:dyDescent="0.3">
      <c r="A42" s="6"/>
      <c r="B42" s="5"/>
      <c r="C42" s="4"/>
      <c r="D42" s="15" t="s">
        <v>245</v>
      </c>
      <c r="E42" s="32"/>
      <c r="F42" s="31">
        <v>12</v>
      </c>
      <c r="G42" s="13" t="s">
        <v>246</v>
      </c>
      <c r="H42" s="58">
        <f>38896/F42</f>
        <v>3241.3333333333335</v>
      </c>
      <c r="I42" s="62">
        <f>F42*H42</f>
        <v>38896</v>
      </c>
      <c r="J42" s="13" t="s">
        <v>119</v>
      </c>
      <c r="L42" s="2"/>
    </row>
    <row r="43" spans="1:12" ht="32.25" customHeight="1" x14ac:dyDescent="0.3">
      <c r="A43" s="6"/>
      <c r="B43" s="5"/>
      <c r="C43" s="4"/>
      <c r="D43" s="15" t="s">
        <v>247</v>
      </c>
      <c r="E43" s="32"/>
      <c r="F43" s="31">
        <f>1</f>
        <v>1</v>
      </c>
      <c r="G43" s="13" t="s">
        <v>31</v>
      </c>
      <c r="H43" s="58">
        <f>256.6/F43</f>
        <v>256.60000000000002</v>
      </c>
      <c r="I43" s="62">
        <f>F43*H43</f>
        <v>256.60000000000002</v>
      </c>
      <c r="J43" s="13" t="s">
        <v>119</v>
      </c>
      <c r="L43" s="2"/>
    </row>
    <row r="44" spans="1:12" ht="32.25" x14ac:dyDescent="0.3">
      <c r="A44" s="6" t="s">
        <v>51</v>
      </c>
      <c r="B44" s="5"/>
      <c r="C44" s="4"/>
      <c r="D44" s="15" t="s">
        <v>100</v>
      </c>
      <c r="E44" s="42"/>
      <c r="F44" s="42"/>
      <c r="G44" s="13" t="s">
        <v>55</v>
      </c>
      <c r="H44" s="42"/>
      <c r="I44" s="42" t="s">
        <v>143</v>
      </c>
      <c r="J44" s="13"/>
      <c r="L44" s="2"/>
    </row>
    <row r="45" spans="1:12" ht="32.25" x14ac:dyDescent="0.3">
      <c r="A45" s="6"/>
      <c r="B45" s="5"/>
      <c r="C45" s="4"/>
      <c r="D45" s="15" t="s">
        <v>221</v>
      </c>
      <c r="E45" s="42"/>
      <c r="F45" s="42">
        <f>5</f>
        <v>5</v>
      </c>
      <c r="G45" s="13" t="s">
        <v>31</v>
      </c>
      <c r="H45" s="42">
        <f>246000/F45</f>
        <v>49200</v>
      </c>
      <c r="I45" s="61">
        <f>F45*H45</f>
        <v>246000</v>
      </c>
      <c r="J45" s="13" t="s">
        <v>119</v>
      </c>
      <c r="L45" s="2"/>
    </row>
    <row r="46" spans="1:12" ht="32.25" x14ac:dyDescent="0.3">
      <c r="A46" s="6"/>
      <c r="B46" s="5"/>
      <c r="C46" s="4"/>
      <c r="D46" s="15" t="s">
        <v>221</v>
      </c>
      <c r="E46" s="42"/>
      <c r="F46" s="42">
        <f>4</f>
        <v>4</v>
      </c>
      <c r="G46" s="13" t="s">
        <v>31</v>
      </c>
      <c r="H46" s="42">
        <f>196800/F46</f>
        <v>49200</v>
      </c>
      <c r="I46" s="61">
        <f>F46*H46</f>
        <v>196800</v>
      </c>
      <c r="J46" s="13" t="s">
        <v>119</v>
      </c>
      <c r="L46" s="2"/>
    </row>
    <row r="47" spans="1:12" ht="32.25" x14ac:dyDescent="0.3">
      <c r="A47" s="6"/>
      <c r="B47" s="5"/>
      <c r="C47" s="4"/>
      <c r="D47" s="15" t="s">
        <v>227</v>
      </c>
      <c r="E47" s="42"/>
      <c r="F47" s="42"/>
      <c r="G47" s="13" t="s">
        <v>114</v>
      </c>
      <c r="H47" s="49"/>
      <c r="I47" s="61"/>
      <c r="J47" s="13"/>
      <c r="L47" s="2"/>
    </row>
    <row r="48" spans="1:12" ht="32.25" x14ac:dyDescent="0.3">
      <c r="A48" s="6" t="s">
        <v>60</v>
      </c>
      <c r="B48" s="8"/>
      <c r="C48" s="4"/>
      <c r="D48" s="15" t="s">
        <v>47</v>
      </c>
      <c r="E48" s="42"/>
      <c r="F48" s="42"/>
      <c r="G48" s="14" t="s">
        <v>54</v>
      </c>
      <c r="H48" s="42"/>
      <c r="I48" s="42" t="s">
        <v>143</v>
      </c>
      <c r="J48" s="13"/>
      <c r="L48" s="2"/>
    </row>
    <row r="49" spans="1:12" ht="48" x14ac:dyDescent="0.3">
      <c r="A49" s="6"/>
      <c r="B49" s="8"/>
      <c r="C49" s="4"/>
      <c r="D49" s="15" t="s">
        <v>212</v>
      </c>
      <c r="E49" s="42"/>
      <c r="F49" s="42">
        <f>126</f>
        <v>126</v>
      </c>
      <c r="G49" s="14" t="s">
        <v>114</v>
      </c>
      <c r="H49" s="49">
        <f>376673.8/F49</f>
        <v>2989.4746031746031</v>
      </c>
      <c r="I49" s="61">
        <f t="shared" ref="I49:I54" si="0">F49*H49</f>
        <v>376673.8</v>
      </c>
      <c r="J49" s="13" t="s">
        <v>124</v>
      </c>
      <c r="K49" s="1">
        <v>376673.8</v>
      </c>
      <c r="L49" s="2"/>
    </row>
    <row r="50" spans="1:12" ht="32.25" x14ac:dyDescent="0.3">
      <c r="A50" s="6"/>
      <c r="B50" s="8"/>
      <c r="C50" s="4"/>
      <c r="D50" s="15" t="s">
        <v>228</v>
      </c>
      <c r="E50" s="42"/>
      <c r="F50" s="42">
        <f>24.28</f>
        <v>24.28</v>
      </c>
      <c r="G50" s="14" t="s">
        <v>114</v>
      </c>
      <c r="H50" s="49">
        <f>8425.2/F50</f>
        <v>347.00164744645798</v>
      </c>
      <c r="I50" s="61">
        <f t="shared" si="0"/>
        <v>8425.2000000000007</v>
      </c>
      <c r="J50" s="13" t="s">
        <v>119</v>
      </c>
      <c r="L50" s="2"/>
    </row>
    <row r="51" spans="1:12" ht="32.25" x14ac:dyDescent="0.3">
      <c r="A51" s="6"/>
      <c r="B51" s="8"/>
      <c r="C51" s="4"/>
      <c r="D51" s="15" t="s">
        <v>234</v>
      </c>
      <c r="E51" s="42"/>
      <c r="F51" s="42">
        <f>1697.55</f>
        <v>1697.55</v>
      </c>
      <c r="G51" s="14" t="s">
        <v>114</v>
      </c>
      <c r="H51" s="49">
        <f>292512.6/F51</f>
        <v>172.31457099938146</v>
      </c>
      <c r="I51" s="61">
        <f t="shared" si="0"/>
        <v>292512.59999999998</v>
      </c>
      <c r="J51" s="13" t="s">
        <v>119</v>
      </c>
      <c r="L51" s="2"/>
    </row>
    <row r="52" spans="1:12" ht="32.25" x14ac:dyDescent="0.3">
      <c r="A52" s="6"/>
      <c r="B52" s="8"/>
      <c r="C52" s="4"/>
      <c r="D52" s="15" t="s">
        <v>235</v>
      </c>
      <c r="E52" s="42"/>
      <c r="F52" s="42">
        <v>1699.05</v>
      </c>
      <c r="G52" s="14" t="s">
        <v>114</v>
      </c>
      <c r="H52" s="49">
        <f>989536.2/F52</f>
        <v>582.40557958859358</v>
      </c>
      <c r="I52" s="61">
        <f t="shared" si="0"/>
        <v>989536.2</v>
      </c>
      <c r="J52" s="13" t="s">
        <v>119</v>
      </c>
      <c r="L52" s="2"/>
    </row>
    <row r="53" spans="1:12" ht="18.75" x14ac:dyDescent="0.3">
      <c r="A53" s="6"/>
      <c r="B53" s="8"/>
      <c r="C53" s="4"/>
      <c r="D53" s="15" t="s">
        <v>231</v>
      </c>
      <c r="E53" s="42"/>
      <c r="F53" s="42">
        <f>1.5</f>
        <v>1.5</v>
      </c>
      <c r="G53" s="14" t="s">
        <v>114</v>
      </c>
      <c r="H53" s="49">
        <f>5748.2/F53</f>
        <v>3832.1333333333332</v>
      </c>
      <c r="I53" s="61">
        <f t="shared" si="0"/>
        <v>5748.2</v>
      </c>
      <c r="J53" s="13" t="s">
        <v>119</v>
      </c>
      <c r="L53" s="2"/>
    </row>
    <row r="54" spans="1:12" ht="48" x14ac:dyDescent="0.3">
      <c r="A54" s="6"/>
      <c r="B54" s="8"/>
      <c r="C54" s="4"/>
      <c r="D54" s="15" t="s">
        <v>236</v>
      </c>
      <c r="E54" s="42"/>
      <c r="F54" s="42">
        <f>160.9</f>
        <v>160.9</v>
      </c>
      <c r="G54" s="14" t="s">
        <v>114</v>
      </c>
      <c r="H54" s="49">
        <f>55820.8/F54</f>
        <v>346.92852703542576</v>
      </c>
      <c r="I54" s="61">
        <f t="shared" si="0"/>
        <v>55820.80000000001</v>
      </c>
      <c r="J54" s="13" t="s">
        <v>119</v>
      </c>
      <c r="L54" s="2"/>
    </row>
    <row r="55" spans="1:12" ht="18.75" x14ac:dyDescent="0.3">
      <c r="A55" s="6" t="s">
        <v>62</v>
      </c>
      <c r="B55" s="5"/>
      <c r="C55" s="4"/>
      <c r="D55" s="15" t="s">
        <v>52</v>
      </c>
      <c r="E55" s="42"/>
      <c r="F55" s="42"/>
      <c r="G55" s="14" t="s">
        <v>54</v>
      </c>
      <c r="H55" s="42"/>
      <c r="I55" s="42" t="s">
        <v>143</v>
      </c>
      <c r="J55" s="13"/>
      <c r="L55" s="2"/>
    </row>
    <row r="56" spans="1:12" ht="48" x14ac:dyDescent="0.3">
      <c r="A56" s="6"/>
      <c r="B56" s="5"/>
      <c r="C56" s="4"/>
      <c r="D56" s="15" t="s">
        <v>238</v>
      </c>
      <c r="E56" s="42"/>
      <c r="F56" s="42">
        <f>15.96</f>
        <v>15.96</v>
      </c>
      <c r="G56" s="14" t="s">
        <v>114</v>
      </c>
      <c r="H56" s="49">
        <f>12158.2/F56</f>
        <v>761.79197994987464</v>
      </c>
      <c r="I56" s="61">
        <f>F56*H56</f>
        <v>12158.2</v>
      </c>
      <c r="J56" s="13" t="s">
        <v>119</v>
      </c>
      <c r="L56" s="2"/>
    </row>
    <row r="57" spans="1:12" ht="48" x14ac:dyDescent="0.3">
      <c r="A57" s="6"/>
      <c r="B57" s="5"/>
      <c r="C57" s="4"/>
      <c r="D57" s="15" t="s">
        <v>255</v>
      </c>
      <c r="E57" s="42"/>
      <c r="F57" s="42">
        <f>9.12</f>
        <v>9.1199999999999992</v>
      </c>
      <c r="G57" s="14" t="s">
        <v>239</v>
      </c>
      <c r="H57" s="49">
        <f>2120.4/F57</f>
        <v>232.50000000000003</v>
      </c>
      <c r="I57" s="61">
        <f>F57*H57</f>
        <v>2120.4</v>
      </c>
      <c r="J57" s="13" t="s">
        <v>119</v>
      </c>
      <c r="L57" s="2"/>
    </row>
    <row r="58" spans="1:12" ht="32.25" x14ac:dyDescent="0.3">
      <c r="A58" s="6" t="s">
        <v>63</v>
      </c>
      <c r="B58" s="5"/>
      <c r="C58" s="4"/>
      <c r="D58" s="15" t="s">
        <v>65</v>
      </c>
      <c r="E58" s="42"/>
      <c r="F58" s="42"/>
      <c r="G58" s="13" t="s">
        <v>30</v>
      </c>
      <c r="H58" s="42"/>
      <c r="I58" s="42" t="s">
        <v>143</v>
      </c>
      <c r="J58" s="13"/>
      <c r="L58" s="2"/>
    </row>
    <row r="59" spans="1:12" ht="18.75" x14ac:dyDescent="0.3">
      <c r="A59" s="6"/>
      <c r="B59" s="5"/>
      <c r="C59" s="4"/>
      <c r="D59" s="15" t="s">
        <v>225</v>
      </c>
      <c r="E59" s="42"/>
      <c r="F59" s="42">
        <f>9</f>
        <v>9</v>
      </c>
      <c r="G59" s="13" t="s">
        <v>31</v>
      </c>
      <c r="H59" s="49">
        <f>5839/F59</f>
        <v>648.77777777777783</v>
      </c>
      <c r="I59" s="64">
        <f>F59*H59</f>
        <v>5839</v>
      </c>
      <c r="J59" s="13" t="s">
        <v>119</v>
      </c>
      <c r="L59" s="2"/>
    </row>
    <row r="60" spans="1:12" ht="18.75" x14ac:dyDescent="0.3">
      <c r="A60" s="6"/>
      <c r="B60" s="5"/>
      <c r="C60" s="4"/>
      <c r="D60" s="15" t="s">
        <v>226</v>
      </c>
      <c r="E60" s="42"/>
      <c r="F60" s="42">
        <v>9</v>
      </c>
      <c r="G60" s="13" t="s">
        <v>31</v>
      </c>
      <c r="H60" s="49">
        <f>47756.8/F60</f>
        <v>5306.3111111111111</v>
      </c>
      <c r="I60" s="61">
        <f>F60*H60</f>
        <v>47756.800000000003</v>
      </c>
      <c r="J60" s="13" t="s">
        <v>119</v>
      </c>
      <c r="L60" s="2"/>
    </row>
    <row r="61" spans="1:12" ht="18.75" x14ac:dyDescent="0.3">
      <c r="A61" s="6"/>
      <c r="B61" s="5"/>
      <c r="C61" s="4"/>
      <c r="D61" s="15" t="s">
        <v>170</v>
      </c>
      <c r="E61" s="42"/>
      <c r="F61" s="42"/>
      <c r="G61" s="13" t="s">
        <v>31</v>
      </c>
      <c r="H61" s="42"/>
      <c r="I61" s="42"/>
      <c r="J61" s="13"/>
      <c r="L61" s="2"/>
    </row>
    <row r="62" spans="1:12" ht="18.75" x14ac:dyDescent="0.3">
      <c r="A62" s="6" t="s">
        <v>59</v>
      </c>
      <c r="B62" s="8"/>
      <c r="C62" s="4"/>
      <c r="D62" s="4" t="s">
        <v>48</v>
      </c>
      <c r="E62" s="42" t="s">
        <v>143</v>
      </c>
      <c r="F62" s="42"/>
      <c r="G62" s="14" t="s">
        <v>54</v>
      </c>
      <c r="H62" s="42"/>
      <c r="I62" s="42" t="s">
        <v>143</v>
      </c>
      <c r="J62" s="13"/>
      <c r="L62" s="2"/>
    </row>
    <row r="63" spans="1:12" ht="32.25" x14ac:dyDescent="0.3">
      <c r="A63" s="6"/>
      <c r="B63" s="8"/>
      <c r="C63" s="4"/>
      <c r="D63" s="15" t="s">
        <v>232</v>
      </c>
      <c r="E63" s="42"/>
      <c r="F63" s="42">
        <f>590.3</f>
        <v>590.29999999999995</v>
      </c>
      <c r="G63" s="14" t="s">
        <v>114</v>
      </c>
      <c r="H63" s="49">
        <f>101716.4/F63</f>
        <v>172.31306115534474</v>
      </c>
      <c r="I63" s="61">
        <f>F63*H63</f>
        <v>101716.4</v>
      </c>
      <c r="J63" s="13" t="s">
        <v>119</v>
      </c>
      <c r="L63" s="2"/>
    </row>
    <row r="64" spans="1:12" ht="32.25" x14ac:dyDescent="0.3">
      <c r="A64" s="6"/>
      <c r="B64" s="8"/>
      <c r="C64" s="4"/>
      <c r="D64" s="15" t="s">
        <v>233</v>
      </c>
      <c r="E64" s="42"/>
      <c r="F64" s="42">
        <f>590.3</f>
        <v>590.29999999999995</v>
      </c>
      <c r="G64" s="14" t="s">
        <v>114</v>
      </c>
      <c r="H64" s="49">
        <f>470459/F64</f>
        <v>796.98289005590379</v>
      </c>
      <c r="I64" s="61">
        <f>F64*H64</f>
        <v>470459</v>
      </c>
      <c r="J64" s="13" t="s">
        <v>119</v>
      </c>
      <c r="L64" s="2"/>
    </row>
    <row r="65" spans="1:12" ht="32.25" x14ac:dyDescent="0.3">
      <c r="A65" s="6"/>
      <c r="B65" s="8"/>
      <c r="C65" s="4"/>
      <c r="D65" s="15" t="s">
        <v>203</v>
      </c>
      <c r="E65" s="42"/>
      <c r="F65" s="42">
        <f>6</f>
        <v>6</v>
      </c>
      <c r="G65" s="14" t="s">
        <v>31</v>
      </c>
      <c r="H65" s="49">
        <f>764.2/F65</f>
        <v>127.36666666666667</v>
      </c>
      <c r="I65" s="61">
        <f>F65*H65</f>
        <v>764.2</v>
      </c>
      <c r="J65" s="13" t="s">
        <v>124</v>
      </c>
      <c r="K65" s="1">
        <v>764.2</v>
      </c>
      <c r="L65" s="2"/>
    </row>
    <row r="66" spans="1:12" ht="24" customHeight="1" x14ac:dyDescent="0.3">
      <c r="A66" s="6" t="s">
        <v>61</v>
      </c>
      <c r="B66" s="8"/>
      <c r="C66" s="4"/>
      <c r="D66" s="4" t="s">
        <v>49</v>
      </c>
      <c r="E66" s="42" t="s">
        <v>143</v>
      </c>
      <c r="F66" s="42"/>
      <c r="G66" s="14" t="s">
        <v>54</v>
      </c>
      <c r="H66" s="42"/>
      <c r="I66" s="42" t="s">
        <v>143</v>
      </c>
      <c r="J66" s="13"/>
      <c r="L66" s="2"/>
    </row>
    <row r="67" spans="1:12" ht="24" customHeight="1" x14ac:dyDescent="0.3">
      <c r="A67" s="6" t="s">
        <v>66</v>
      </c>
      <c r="B67" s="8"/>
      <c r="C67" s="4"/>
      <c r="D67" s="4" t="s">
        <v>210</v>
      </c>
      <c r="E67" s="42"/>
      <c r="F67" s="42">
        <f>18+13</f>
        <v>31</v>
      </c>
      <c r="G67" s="14" t="s">
        <v>31</v>
      </c>
      <c r="H67" s="49">
        <f>(22617.6+7737.4)/F67</f>
        <v>979.19354838709683</v>
      </c>
      <c r="I67" s="61">
        <f>F67*H67</f>
        <v>30355</v>
      </c>
      <c r="J67" s="13" t="s">
        <v>124</v>
      </c>
      <c r="K67" s="1">
        <v>22617.599999999999</v>
      </c>
      <c r="L67" s="2"/>
    </row>
    <row r="68" spans="1:12" ht="24" customHeight="1" x14ac:dyDescent="0.3">
      <c r="A68" s="6"/>
      <c r="B68" s="8"/>
      <c r="C68" s="4"/>
      <c r="D68" s="4" t="s">
        <v>211</v>
      </c>
      <c r="E68" s="42" t="s">
        <v>143</v>
      </c>
      <c r="F68" s="42">
        <v>18</v>
      </c>
      <c r="G68" s="14" t="s">
        <v>55</v>
      </c>
      <c r="H68" s="49">
        <f>(34405.8+43346.8)/18</f>
        <v>4319.5888888888894</v>
      </c>
      <c r="I68" s="61">
        <f>F68*H68</f>
        <v>77752.600000000006</v>
      </c>
      <c r="J68" s="13" t="s">
        <v>124</v>
      </c>
      <c r="K68" s="1">
        <v>34405.800000000003</v>
      </c>
      <c r="L68" s="2"/>
    </row>
    <row r="69" spans="1:12" ht="18.75" x14ac:dyDescent="0.3">
      <c r="A69" s="6"/>
      <c r="B69" s="5"/>
      <c r="C69" s="4"/>
      <c r="D69" s="4" t="s">
        <v>242</v>
      </c>
      <c r="E69" s="42" t="s">
        <v>143</v>
      </c>
      <c r="F69" s="42">
        <v>60</v>
      </c>
      <c r="G69" s="14" t="s">
        <v>55</v>
      </c>
      <c r="H69" s="49">
        <f>67166.2/F69</f>
        <v>1119.4366666666667</v>
      </c>
      <c r="I69" s="61">
        <f>F69*H69</f>
        <v>67166.2</v>
      </c>
      <c r="J69" s="13" t="s">
        <v>124</v>
      </c>
      <c r="L69" s="2"/>
    </row>
    <row r="70" spans="1:12" ht="18.75" x14ac:dyDescent="0.3">
      <c r="A70" s="28"/>
      <c r="B70" s="22"/>
      <c r="C70" s="22"/>
      <c r="D70" s="22"/>
      <c r="E70" s="46"/>
      <c r="F70" s="46"/>
      <c r="G70" s="12"/>
      <c r="H70" s="42"/>
      <c r="I70" s="42">
        <f>SUM(I36:I69)</f>
        <v>3072581.1999999997</v>
      </c>
      <c r="J70" s="13"/>
      <c r="L70" s="2"/>
    </row>
    <row r="71" spans="1:12" ht="18.75" x14ac:dyDescent="0.3">
      <c r="A71" s="78" t="s">
        <v>68</v>
      </c>
      <c r="B71" s="79"/>
      <c r="C71" s="79"/>
      <c r="D71" s="79"/>
      <c r="E71" s="79"/>
      <c r="F71" s="79"/>
      <c r="G71" s="80"/>
      <c r="H71" s="18"/>
      <c r="I71" s="5"/>
      <c r="J71" s="13"/>
      <c r="L71" s="2"/>
    </row>
    <row r="72" spans="1:12" ht="37.5" x14ac:dyDescent="0.25">
      <c r="A72" s="9" t="s">
        <v>29</v>
      </c>
      <c r="B72" s="8"/>
      <c r="C72" s="4"/>
      <c r="D72" s="15" t="s">
        <v>243</v>
      </c>
      <c r="E72" s="42" t="s">
        <v>143</v>
      </c>
      <c r="F72" s="42">
        <f>6.66</f>
        <v>6.66</v>
      </c>
      <c r="G72" s="13" t="s">
        <v>114</v>
      </c>
      <c r="H72" s="49">
        <f>35136/F72</f>
        <v>5275.6756756756758</v>
      </c>
      <c r="I72" s="61">
        <f>F72*H72</f>
        <v>35136</v>
      </c>
      <c r="J72" s="13" t="s">
        <v>119</v>
      </c>
      <c r="L72" s="2"/>
    </row>
    <row r="73" spans="1:12" ht="47.25" x14ac:dyDescent="0.25">
      <c r="A73" s="9"/>
      <c r="B73" s="8"/>
      <c r="C73" s="4"/>
      <c r="D73" s="15" t="s">
        <v>240</v>
      </c>
      <c r="E73" s="42"/>
      <c r="F73" s="42">
        <f>19.3</f>
        <v>19.3</v>
      </c>
      <c r="G73" s="13" t="s">
        <v>114</v>
      </c>
      <c r="H73" s="49">
        <f>13812.8/F73</f>
        <v>715.68911917098444</v>
      </c>
      <c r="I73" s="61">
        <f>F73*H73</f>
        <v>13812.800000000001</v>
      </c>
      <c r="J73" s="13" t="s">
        <v>119</v>
      </c>
      <c r="L73" s="2"/>
    </row>
    <row r="74" spans="1:12" ht="47.25" x14ac:dyDescent="0.25">
      <c r="A74" s="9"/>
      <c r="B74" s="8"/>
      <c r="C74" s="4"/>
      <c r="D74" s="15" t="s">
        <v>241</v>
      </c>
      <c r="E74" s="42"/>
      <c r="F74" s="42">
        <f>5.5</f>
        <v>5.5</v>
      </c>
      <c r="G74" s="13" t="s">
        <v>114</v>
      </c>
      <c r="H74" s="49">
        <f>3494.6/F74</f>
        <v>635.38181818181818</v>
      </c>
      <c r="I74" s="61">
        <f>F74*H74</f>
        <v>3494.6</v>
      </c>
      <c r="J74" s="13" t="s">
        <v>119</v>
      </c>
      <c r="L74" s="2"/>
    </row>
    <row r="75" spans="1:12" ht="46.5" customHeight="1" x14ac:dyDescent="0.25">
      <c r="A75" s="9" t="s">
        <v>93</v>
      </c>
      <c r="B75" s="8"/>
      <c r="C75" s="4"/>
      <c r="D75" s="43" t="s">
        <v>128</v>
      </c>
      <c r="E75" s="32"/>
      <c r="F75" s="13">
        <v>3280</v>
      </c>
      <c r="G75" s="13" t="s">
        <v>114</v>
      </c>
      <c r="H75" s="33">
        <f>(13812.8+13812.8+13812.8+14126.2+14126.2+14126.2+14499.8+14499.8+14499.8+14955.2+14955.2+14955.2)/F75</f>
        <v>52.494512195121963</v>
      </c>
      <c r="I75" s="33">
        <f t="shared" ref="I75:I98" si="1">F75*H75</f>
        <v>172182.00000000003</v>
      </c>
      <c r="J75" s="13" t="s">
        <v>117</v>
      </c>
      <c r="L75" s="2"/>
    </row>
    <row r="76" spans="1:12" ht="46.5" customHeight="1" x14ac:dyDescent="0.25">
      <c r="A76" s="9"/>
      <c r="B76" s="8"/>
      <c r="C76" s="4"/>
      <c r="D76" s="15" t="s">
        <v>112</v>
      </c>
      <c r="E76" s="32"/>
      <c r="F76" s="13">
        <f>1934+1934</f>
        <v>3868</v>
      </c>
      <c r="G76" s="13" t="s">
        <v>30</v>
      </c>
      <c r="H76" s="33">
        <f>(161556.2+165837.8-165837.8)/F76</f>
        <v>41.767373319544987</v>
      </c>
      <c r="I76" s="33">
        <f t="shared" si="1"/>
        <v>161556.20000000001</v>
      </c>
      <c r="J76" s="13" t="s">
        <v>119</v>
      </c>
      <c r="L76" s="2"/>
    </row>
    <row r="77" spans="1:12" ht="46.5" customHeight="1" x14ac:dyDescent="0.25">
      <c r="A77" s="9"/>
      <c r="B77" s="8"/>
      <c r="C77" s="4"/>
      <c r="D77" s="15" t="s">
        <v>113</v>
      </c>
      <c r="E77" s="42"/>
      <c r="F77" s="42">
        <f>65+65</f>
        <v>130</v>
      </c>
      <c r="G77" s="13" t="s">
        <v>30</v>
      </c>
      <c r="H77" s="49">
        <f>(5491.6+5635.6-5635.6)/F77</f>
        <v>42.243076923076927</v>
      </c>
      <c r="I77" s="42">
        <f t="shared" si="1"/>
        <v>5491.6</v>
      </c>
      <c r="J77" s="13" t="s">
        <v>119</v>
      </c>
      <c r="L77" s="2"/>
    </row>
    <row r="78" spans="1:12" ht="46.5" customHeight="1" x14ac:dyDescent="0.25">
      <c r="A78" s="9"/>
      <c r="B78" s="8"/>
      <c r="C78" s="4"/>
      <c r="D78" s="15" t="s">
        <v>166</v>
      </c>
      <c r="E78" s="42"/>
      <c r="F78" s="42">
        <f>2</f>
        <v>2</v>
      </c>
      <c r="G78" s="13" t="s">
        <v>31</v>
      </c>
      <c r="H78" s="42">
        <f>2584.2/F78</f>
        <v>1292.0999999999999</v>
      </c>
      <c r="I78" s="42">
        <f>F78*H78</f>
        <v>2584.1999999999998</v>
      </c>
      <c r="J78" s="13" t="s">
        <v>117</v>
      </c>
      <c r="L78" s="2"/>
    </row>
    <row r="79" spans="1:12" ht="46.5" customHeight="1" x14ac:dyDescent="0.25">
      <c r="A79" s="9"/>
      <c r="B79" s="8"/>
      <c r="C79" s="4"/>
      <c r="D79" s="15" t="s">
        <v>165</v>
      </c>
      <c r="E79" s="42"/>
      <c r="F79" s="42">
        <f>1+3</f>
        <v>4</v>
      </c>
      <c r="G79" s="13" t="s">
        <v>31</v>
      </c>
      <c r="H79" s="42">
        <f>(1373.4+4230)/F79</f>
        <v>1400.85</v>
      </c>
      <c r="I79" s="42">
        <f>F79*H79</f>
        <v>5603.4</v>
      </c>
      <c r="J79" s="13" t="s">
        <v>119</v>
      </c>
      <c r="L79" s="2"/>
    </row>
    <row r="80" spans="1:12" ht="46.5" customHeight="1" x14ac:dyDescent="0.25">
      <c r="A80" s="9"/>
      <c r="B80" s="8"/>
      <c r="C80" s="4"/>
      <c r="D80" s="15" t="s">
        <v>214</v>
      </c>
      <c r="E80" s="42"/>
      <c r="F80" s="42">
        <f>1+3</f>
        <v>4</v>
      </c>
      <c r="G80" s="13" t="s">
        <v>31</v>
      </c>
      <c r="H80" s="49">
        <f>(5976.8+18403.6)/F80</f>
        <v>6095.0999999999995</v>
      </c>
      <c r="I80" s="42">
        <f>F80*H80</f>
        <v>24380.399999999998</v>
      </c>
      <c r="J80" s="13" t="s">
        <v>119</v>
      </c>
      <c r="L80" s="2"/>
    </row>
    <row r="81" spans="1:12" ht="46.5" customHeight="1" x14ac:dyDescent="0.25">
      <c r="A81" s="9"/>
      <c r="B81" s="8"/>
      <c r="C81" s="4"/>
      <c r="D81" s="15" t="s">
        <v>186</v>
      </c>
      <c r="E81" s="31"/>
      <c r="F81" s="31">
        <f>2+4</f>
        <v>6</v>
      </c>
      <c r="G81" s="13" t="s">
        <v>30</v>
      </c>
      <c r="H81" s="58">
        <f>(670.8+1382.6)/F81</f>
        <v>342.23333333333329</v>
      </c>
      <c r="I81" s="62">
        <f t="shared" ref="I81:I83" si="2">F81*H81</f>
        <v>2053.3999999999996</v>
      </c>
      <c r="J81" s="13"/>
      <c r="L81" s="2"/>
    </row>
    <row r="82" spans="1:12" ht="46.5" customHeight="1" x14ac:dyDescent="0.25">
      <c r="A82" s="9"/>
      <c r="B82" s="8"/>
      <c r="C82" s="4"/>
      <c r="D82" s="15" t="s">
        <v>188</v>
      </c>
      <c r="E82" s="31"/>
      <c r="F82" s="31">
        <f>2+4</f>
        <v>6</v>
      </c>
      <c r="G82" s="13" t="s">
        <v>185</v>
      </c>
      <c r="H82" s="58">
        <f>(82.8+167.6)/F82</f>
        <v>41.733333333333327</v>
      </c>
      <c r="I82" s="62">
        <f t="shared" si="2"/>
        <v>250.39999999999998</v>
      </c>
      <c r="J82" s="13"/>
      <c r="L82" s="2"/>
    </row>
    <row r="83" spans="1:12" ht="46.5" customHeight="1" x14ac:dyDescent="0.25">
      <c r="A83" s="9"/>
      <c r="B83" s="8"/>
      <c r="C83" s="4"/>
      <c r="D83" s="15" t="s">
        <v>189</v>
      </c>
      <c r="E83" s="31"/>
      <c r="F83" s="31">
        <f>2+4</f>
        <v>6</v>
      </c>
      <c r="G83" s="13" t="s">
        <v>30</v>
      </c>
      <c r="H83" s="58">
        <f>(680.2+6003.4)/F83</f>
        <v>1113.9333333333332</v>
      </c>
      <c r="I83" s="62">
        <f t="shared" si="2"/>
        <v>6683.5999999999985</v>
      </c>
      <c r="J83" s="13"/>
      <c r="L83" s="2"/>
    </row>
    <row r="84" spans="1:12" ht="46.5" customHeight="1" x14ac:dyDescent="0.25">
      <c r="A84" s="9"/>
      <c r="B84" s="8"/>
      <c r="C84" s="4"/>
      <c r="D84" s="15" t="s">
        <v>167</v>
      </c>
      <c r="E84" s="42"/>
      <c r="F84" s="42"/>
      <c r="G84" s="13" t="s">
        <v>31</v>
      </c>
      <c r="H84" s="42"/>
      <c r="I84" s="42"/>
      <c r="J84" s="13"/>
      <c r="L84" s="2"/>
    </row>
    <row r="85" spans="1:12" ht="46.5" customHeight="1" x14ac:dyDescent="0.25">
      <c r="A85" s="9"/>
      <c r="B85" s="8"/>
      <c r="C85" s="4"/>
      <c r="D85" s="15" t="s">
        <v>168</v>
      </c>
      <c r="E85" s="42"/>
      <c r="F85" s="42">
        <f>2</f>
        <v>2</v>
      </c>
      <c r="G85" s="13" t="s">
        <v>31</v>
      </c>
      <c r="H85" s="42">
        <f>5285/F85</f>
        <v>2642.5</v>
      </c>
      <c r="I85" s="42">
        <f>F85*H85</f>
        <v>5285</v>
      </c>
      <c r="J85" s="13" t="s">
        <v>119</v>
      </c>
      <c r="L85" s="2"/>
    </row>
    <row r="86" spans="1:12" ht="46.5" customHeight="1" x14ac:dyDescent="0.25">
      <c r="A86" s="9"/>
      <c r="B86" s="8"/>
      <c r="C86" s="4"/>
      <c r="D86" s="15" t="s">
        <v>169</v>
      </c>
      <c r="E86" s="42"/>
      <c r="F86" s="42">
        <f>3</f>
        <v>3</v>
      </c>
      <c r="G86" s="13" t="s">
        <v>31</v>
      </c>
      <c r="H86" s="49">
        <f>6672.8/F86</f>
        <v>2224.2666666666669</v>
      </c>
      <c r="I86" s="42">
        <f>F86*H86</f>
        <v>6672.8000000000011</v>
      </c>
      <c r="J86" s="13" t="s">
        <v>119</v>
      </c>
      <c r="L86" s="2"/>
    </row>
    <row r="87" spans="1:12" ht="46.5" customHeight="1" x14ac:dyDescent="0.25">
      <c r="A87" s="9"/>
      <c r="B87" s="8"/>
      <c r="C87" s="4"/>
      <c r="D87" s="15" t="s">
        <v>182</v>
      </c>
      <c r="E87" s="31"/>
      <c r="F87" s="31">
        <f>2+1+2</f>
        <v>5</v>
      </c>
      <c r="G87" s="13" t="s">
        <v>161</v>
      </c>
      <c r="H87" s="58">
        <f>(12644.2+6321.4+12913.6)/F87</f>
        <v>6375.8399999999992</v>
      </c>
      <c r="I87" s="62">
        <f t="shared" ref="I87:I91" si="3">F87*H87</f>
        <v>31879.199999999997</v>
      </c>
      <c r="J87" s="13" t="s">
        <v>198</v>
      </c>
      <c r="K87" s="1">
        <f>12644.2+6321.4+12913.6</f>
        <v>31879.199999999997</v>
      </c>
      <c r="L87" s="2"/>
    </row>
    <row r="88" spans="1:12" ht="46.5" customHeight="1" x14ac:dyDescent="0.25">
      <c r="A88" s="9"/>
      <c r="B88" s="8"/>
      <c r="C88" s="4"/>
      <c r="D88" s="15" t="s">
        <v>208</v>
      </c>
      <c r="E88" s="31"/>
      <c r="F88" s="31">
        <f>1</f>
        <v>1</v>
      </c>
      <c r="G88" s="13" t="s">
        <v>161</v>
      </c>
      <c r="H88" s="58">
        <f>12274.2/F88</f>
        <v>12274.2</v>
      </c>
      <c r="I88" s="62">
        <f t="shared" ref="I88" si="4">F88*H88</f>
        <v>12274.2</v>
      </c>
      <c r="J88" s="13" t="s">
        <v>124</v>
      </c>
      <c r="K88" s="1">
        <v>12274.2</v>
      </c>
      <c r="L88" s="2"/>
    </row>
    <row r="89" spans="1:12" ht="46.5" customHeight="1" x14ac:dyDescent="0.25">
      <c r="A89" s="9"/>
      <c r="B89" s="8"/>
      <c r="C89" s="4"/>
      <c r="D89" s="15" t="s">
        <v>219</v>
      </c>
      <c r="E89" s="31"/>
      <c r="F89" s="31">
        <f>2</f>
        <v>2</v>
      </c>
      <c r="G89" s="13" t="s">
        <v>161</v>
      </c>
      <c r="H89" s="58">
        <f>37443.6/F89</f>
        <v>18721.8</v>
      </c>
      <c r="I89" s="62">
        <f t="shared" ref="I89" si="5">F89*H89</f>
        <v>37443.599999999999</v>
      </c>
      <c r="J89" s="13" t="s">
        <v>119</v>
      </c>
      <c r="L89" s="2"/>
    </row>
    <row r="90" spans="1:12" ht="46.5" customHeight="1" x14ac:dyDescent="0.25">
      <c r="A90" s="9"/>
      <c r="B90" s="8"/>
      <c r="C90" s="4"/>
      <c r="D90" s="15" t="s">
        <v>207</v>
      </c>
      <c r="E90" s="42"/>
      <c r="F90" s="42">
        <f>1+8+1</f>
        <v>10</v>
      </c>
      <c r="G90" s="13" t="s">
        <v>30</v>
      </c>
      <c r="H90" s="49">
        <f>(1005.2+8306.4+1075)/F90</f>
        <v>1038.6600000000001</v>
      </c>
      <c r="I90" s="61">
        <f t="shared" si="3"/>
        <v>10386.6</v>
      </c>
      <c r="J90" s="13" t="s">
        <v>117</v>
      </c>
      <c r="K90" s="1">
        <v>1005.2</v>
      </c>
      <c r="L90" s="2"/>
    </row>
    <row r="91" spans="1:12" ht="46.5" customHeight="1" x14ac:dyDescent="0.25">
      <c r="A91" s="9"/>
      <c r="B91" s="8"/>
      <c r="C91" s="4"/>
      <c r="D91" s="15" t="s">
        <v>206</v>
      </c>
      <c r="E91" s="42"/>
      <c r="F91" s="42">
        <f>4.5</f>
        <v>4.5</v>
      </c>
      <c r="G91" s="13" t="s">
        <v>30</v>
      </c>
      <c r="H91" s="49">
        <f>5022.4/F91</f>
        <v>1116.0888888888887</v>
      </c>
      <c r="I91" s="61">
        <f t="shared" si="3"/>
        <v>5022.3999999999996</v>
      </c>
      <c r="J91" s="13" t="s">
        <v>117</v>
      </c>
      <c r="K91" s="1">
        <v>5022.3999999999996</v>
      </c>
      <c r="L91" s="2"/>
    </row>
    <row r="92" spans="1:12" ht="46.5" customHeight="1" x14ac:dyDescent="0.25">
      <c r="A92" s="9"/>
      <c r="B92" s="8"/>
      <c r="C92" s="4"/>
      <c r="D92" s="15" t="s">
        <v>248</v>
      </c>
      <c r="E92" s="42"/>
      <c r="F92" s="42">
        <f>1</f>
        <v>1</v>
      </c>
      <c r="G92" s="13" t="s">
        <v>30</v>
      </c>
      <c r="H92" s="42">
        <f>3750.2/F92</f>
        <v>3750.2</v>
      </c>
      <c r="I92" s="61">
        <f t="shared" ref="I92" si="6">F92*H92</f>
        <v>3750.2</v>
      </c>
      <c r="J92" s="13"/>
      <c r="L92" s="2"/>
    </row>
    <row r="93" spans="1:12" ht="46.5" customHeight="1" x14ac:dyDescent="0.25">
      <c r="A93" s="9"/>
      <c r="B93" s="8"/>
      <c r="C93" s="4"/>
      <c r="D93" s="15" t="s">
        <v>147</v>
      </c>
      <c r="E93" s="32"/>
      <c r="F93" s="13"/>
      <c r="G93" s="13" t="s">
        <v>31</v>
      </c>
      <c r="H93" s="13"/>
      <c r="I93" s="13"/>
      <c r="J93" s="13"/>
      <c r="L93" s="2"/>
    </row>
    <row r="94" spans="1:12" ht="31.5" x14ac:dyDescent="0.25">
      <c r="A94" s="9" t="s">
        <v>84</v>
      </c>
      <c r="B94" s="8"/>
      <c r="C94" s="4"/>
      <c r="D94" s="15" t="s">
        <v>174</v>
      </c>
      <c r="E94" s="42"/>
      <c r="F94" s="42"/>
      <c r="G94" s="13" t="s">
        <v>55</v>
      </c>
      <c r="H94" s="42"/>
      <c r="I94" s="42"/>
      <c r="J94" s="13"/>
      <c r="L94" s="2"/>
    </row>
    <row r="95" spans="1:12" ht="31.5" x14ac:dyDescent="0.25">
      <c r="A95" s="9"/>
      <c r="B95" s="8"/>
      <c r="C95" s="4"/>
      <c r="D95" s="15" t="s">
        <v>175</v>
      </c>
      <c r="E95" s="42"/>
      <c r="F95" s="42"/>
      <c r="G95" s="13" t="s">
        <v>55</v>
      </c>
      <c r="H95" s="42"/>
      <c r="I95" s="42"/>
      <c r="J95" s="13"/>
      <c r="L95" s="2"/>
    </row>
    <row r="96" spans="1:12" ht="18.75" x14ac:dyDescent="0.25">
      <c r="A96" s="9"/>
      <c r="B96" s="8"/>
      <c r="C96" s="4"/>
      <c r="D96" s="15" t="s">
        <v>199</v>
      </c>
      <c r="E96" s="42"/>
      <c r="F96" s="42">
        <f>2+3+1+2</f>
        <v>8</v>
      </c>
      <c r="G96" s="13" t="s">
        <v>31</v>
      </c>
      <c r="H96" s="49">
        <f>(2349.2+3521.2+1175+2390.2)/F96</f>
        <v>1179.4499999999998</v>
      </c>
      <c r="I96" s="61">
        <f t="shared" ref="I95:I96" si="7">F96*H96</f>
        <v>9435.5999999999985</v>
      </c>
      <c r="J96" s="13" t="s">
        <v>117</v>
      </c>
      <c r="K96" s="1">
        <f>2349.2+3521.2+1175+2390.2</f>
        <v>9435.5999999999985</v>
      </c>
      <c r="L96" s="2"/>
    </row>
    <row r="97" spans="1:12" ht="18.75" x14ac:dyDescent="0.25">
      <c r="A97" s="9"/>
      <c r="B97" s="8"/>
      <c r="C97" s="4"/>
      <c r="D97" s="15" t="s">
        <v>209</v>
      </c>
      <c r="E97" s="42"/>
      <c r="F97" s="42">
        <f>1</f>
        <v>1</v>
      </c>
      <c r="G97" s="13" t="s">
        <v>31</v>
      </c>
      <c r="H97" s="49">
        <f>2116/F97</f>
        <v>2116</v>
      </c>
      <c r="I97" s="61">
        <f t="shared" ref="I97" si="8">F97*H97</f>
        <v>2116</v>
      </c>
      <c r="J97" s="13" t="s">
        <v>124</v>
      </c>
      <c r="K97" s="1">
        <v>2116</v>
      </c>
      <c r="L97" s="2"/>
    </row>
    <row r="98" spans="1:12" ht="18.75" x14ac:dyDescent="0.25">
      <c r="A98" s="9"/>
      <c r="B98" s="8"/>
      <c r="C98" s="4"/>
      <c r="D98" s="15" t="s">
        <v>136</v>
      </c>
      <c r="E98" s="32"/>
      <c r="F98" s="13"/>
      <c r="G98" s="13" t="s">
        <v>31</v>
      </c>
      <c r="H98" s="13"/>
      <c r="I98" s="13">
        <f t="shared" si="1"/>
        <v>0</v>
      </c>
      <c r="J98" s="13" t="s">
        <v>119</v>
      </c>
      <c r="L98" s="2"/>
    </row>
    <row r="99" spans="1:12" ht="18.75" x14ac:dyDescent="0.25">
      <c r="A99" s="9"/>
      <c r="B99" s="8"/>
      <c r="C99" s="4"/>
      <c r="D99" s="15" t="s">
        <v>158</v>
      </c>
      <c r="E99" s="32"/>
      <c r="F99" s="31">
        <f>1</f>
        <v>1</v>
      </c>
      <c r="G99" s="13" t="s">
        <v>31</v>
      </c>
      <c r="H99" s="31">
        <f>25305/F99</f>
        <v>25305</v>
      </c>
      <c r="I99" s="62">
        <f>F99*H99</f>
        <v>25305</v>
      </c>
      <c r="J99" s="13" t="s">
        <v>124</v>
      </c>
      <c r="L99" s="2"/>
    </row>
    <row r="100" spans="1:12" ht="31.5" x14ac:dyDescent="0.25">
      <c r="A100" s="9"/>
      <c r="B100" s="8"/>
      <c r="C100" s="4"/>
      <c r="D100" s="15" t="s">
        <v>218</v>
      </c>
      <c r="E100" s="32"/>
      <c r="F100" s="31">
        <f>2+1</f>
        <v>3</v>
      </c>
      <c r="G100" s="13" t="s">
        <v>185</v>
      </c>
      <c r="H100" s="58">
        <f>(9167.4+4583.8)/F100</f>
        <v>4583.7333333333336</v>
      </c>
      <c r="I100" s="62">
        <f>F100*H100</f>
        <v>13751.2</v>
      </c>
      <c r="J100" s="13" t="s">
        <v>119</v>
      </c>
      <c r="L100" s="2"/>
    </row>
    <row r="101" spans="1:12" ht="31.5" x14ac:dyDescent="0.25">
      <c r="A101" s="9"/>
      <c r="B101" s="8"/>
      <c r="C101" s="4"/>
      <c r="D101" s="15" t="s">
        <v>184</v>
      </c>
      <c r="E101" s="32"/>
      <c r="F101" s="31"/>
      <c r="G101" s="13" t="s">
        <v>31</v>
      </c>
      <c r="H101" s="31"/>
      <c r="I101" s="31">
        <f>F101*H101</f>
        <v>0</v>
      </c>
      <c r="J101" s="13" t="s">
        <v>124</v>
      </c>
      <c r="L101" s="2"/>
    </row>
    <row r="102" spans="1:12" ht="18.75" x14ac:dyDescent="0.25">
      <c r="A102" s="9"/>
      <c r="B102" s="8"/>
      <c r="C102" s="4"/>
      <c r="D102" s="15" t="s">
        <v>176</v>
      </c>
      <c r="E102" s="32"/>
      <c r="F102" s="31"/>
      <c r="G102" s="13" t="s">
        <v>177</v>
      </c>
      <c r="H102" s="31"/>
      <c r="I102" s="31">
        <f>F102*H102</f>
        <v>0</v>
      </c>
      <c r="J102" s="13" t="s">
        <v>117</v>
      </c>
      <c r="L102" s="2"/>
    </row>
    <row r="103" spans="1:12" ht="18.75" x14ac:dyDescent="0.25">
      <c r="A103" s="9" t="s">
        <v>20</v>
      </c>
      <c r="B103" s="8"/>
      <c r="C103" s="4"/>
      <c r="D103" s="15" t="s">
        <v>69</v>
      </c>
      <c r="E103" s="42"/>
      <c r="F103" s="42"/>
      <c r="G103" s="13" t="s">
        <v>30</v>
      </c>
      <c r="H103" s="42"/>
      <c r="I103" s="42" t="s">
        <v>143</v>
      </c>
      <c r="J103" s="13"/>
      <c r="L103" s="2"/>
    </row>
    <row r="104" spans="1:12" ht="31.5" x14ac:dyDescent="0.25">
      <c r="A104" s="9" t="s">
        <v>21</v>
      </c>
      <c r="B104" s="8"/>
      <c r="C104" s="4"/>
      <c r="D104" s="15" t="s">
        <v>71</v>
      </c>
      <c r="E104" s="42"/>
      <c r="F104" s="42"/>
      <c r="G104" s="13" t="s">
        <v>55</v>
      </c>
      <c r="H104" s="42"/>
      <c r="I104" s="42">
        <f>F104*H104</f>
        <v>0</v>
      </c>
      <c r="J104" s="13" t="s">
        <v>119</v>
      </c>
      <c r="L104" s="2"/>
    </row>
    <row r="105" spans="1:12" ht="18.75" x14ac:dyDescent="0.25">
      <c r="A105" s="47"/>
      <c r="B105" s="48"/>
      <c r="C105" s="22"/>
      <c r="D105" s="30"/>
      <c r="E105" s="46"/>
      <c r="F105" s="46"/>
      <c r="G105" s="31"/>
      <c r="H105" s="42"/>
      <c r="I105" s="49">
        <f>SUM(I72:I104)</f>
        <v>596550.40000000002</v>
      </c>
      <c r="J105" s="13"/>
      <c r="L105" s="2"/>
    </row>
    <row r="106" spans="1:12" ht="18.75" x14ac:dyDescent="0.3">
      <c r="A106" s="74" t="s">
        <v>72</v>
      </c>
      <c r="B106" s="75"/>
      <c r="C106" s="75"/>
      <c r="D106" s="75"/>
      <c r="E106" s="75"/>
      <c r="F106" s="75"/>
      <c r="G106" s="76"/>
      <c r="H106" s="19"/>
      <c r="I106" s="5"/>
      <c r="J106" s="13"/>
      <c r="L106" s="2"/>
    </row>
    <row r="107" spans="1:12" ht="37.5" x14ac:dyDescent="0.25">
      <c r="A107" s="9" t="s">
        <v>93</v>
      </c>
      <c r="B107" s="8"/>
      <c r="C107" s="4"/>
      <c r="D107" s="4" t="s">
        <v>131</v>
      </c>
      <c r="E107" s="31"/>
      <c r="F107" s="13">
        <f>6+6+8+2+4+5+4+6+4+15</f>
        <v>60</v>
      </c>
      <c r="G107" s="13" t="s">
        <v>116</v>
      </c>
      <c r="H107" s="33">
        <f>(3790.8+3790.8+5052.4+1291.6+2584.8+3230.2+2653.4+4103+2737+10259)/F107/3</f>
        <v>219.40555555555557</v>
      </c>
      <c r="I107" s="33">
        <f>F107*H107</f>
        <v>13164.333333333334</v>
      </c>
      <c r="J107" s="13" t="s">
        <v>117</v>
      </c>
      <c r="L107" s="2"/>
    </row>
    <row r="108" spans="1:12" ht="18.75" x14ac:dyDescent="0.25">
      <c r="A108" s="9"/>
      <c r="B108" s="8"/>
      <c r="C108" s="4"/>
      <c r="D108" s="15" t="s">
        <v>158</v>
      </c>
      <c r="E108" s="42"/>
      <c r="F108" s="42"/>
      <c r="G108" s="13" t="s">
        <v>31</v>
      </c>
      <c r="H108" s="42"/>
      <c r="I108" s="42">
        <f t="shared" ref="I107:I116" si="9">F108*H108</f>
        <v>0</v>
      </c>
      <c r="J108" s="13" t="s">
        <v>124</v>
      </c>
      <c r="L108" s="2"/>
    </row>
    <row r="109" spans="1:12" ht="31.5" x14ac:dyDescent="0.25">
      <c r="A109" s="9"/>
      <c r="B109" s="8"/>
      <c r="C109" s="4"/>
      <c r="D109" s="15" t="s">
        <v>166</v>
      </c>
      <c r="E109" s="42"/>
      <c r="F109" s="42">
        <f>3</f>
        <v>3</v>
      </c>
      <c r="G109" s="13" t="s">
        <v>31</v>
      </c>
      <c r="H109" s="49">
        <f>4199/F109</f>
        <v>1399.6666666666667</v>
      </c>
      <c r="I109" s="42">
        <f>F109*H109</f>
        <v>4199</v>
      </c>
      <c r="J109" s="13"/>
      <c r="L109" s="2"/>
    </row>
    <row r="110" spans="1:12" ht="31.5" x14ac:dyDescent="0.25">
      <c r="A110" s="9"/>
      <c r="B110" s="8"/>
      <c r="C110" s="4"/>
      <c r="D110" s="15" t="s">
        <v>186</v>
      </c>
      <c r="E110" s="31"/>
      <c r="F110" s="31">
        <f>6</f>
        <v>6</v>
      </c>
      <c r="G110" s="13" t="s">
        <v>30</v>
      </c>
      <c r="H110" s="58">
        <f>1799.8/F110</f>
        <v>299.96666666666664</v>
      </c>
      <c r="I110" s="62">
        <f t="shared" si="9"/>
        <v>1799.7999999999997</v>
      </c>
      <c r="J110" s="13"/>
      <c r="L110" s="2"/>
    </row>
    <row r="111" spans="1:12" ht="78.75" x14ac:dyDescent="0.25">
      <c r="A111" s="9"/>
      <c r="B111" s="8"/>
      <c r="C111" s="4"/>
      <c r="D111" s="15" t="s">
        <v>187</v>
      </c>
      <c r="E111" s="31"/>
      <c r="F111" s="31">
        <v>2</v>
      </c>
      <c r="G111" s="13" t="s">
        <v>185</v>
      </c>
      <c r="H111" s="31">
        <f>66.4/2</f>
        <v>33.200000000000003</v>
      </c>
      <c r="I111" s="62">
        <f t="shared" si="9"/>
        <v>66.400000000000006</v>
      </c>
      <c r="J111" s="13"/>
      <c r="L111" s="2"/>
    </row>
    <row r="112" spans="1:12" ht="47.25" x14ac:dyDescent="0.25">
      <c r="A112" s="9"/>
      <c r="B112" s="8"/>
      <c r="C112" s="4"/>
      <c r="D112" s="15" t="s">
        <v>160</v>
      </c>
      <c r="E112" s="31"/>
      <c r="F112" s="31">
        <f>2</f>
        <v>2</v>
      </c>
      <c r="G112" s="13" t="s">
        <v>30</v>
      </c>
      <c r="H112" s="31">
        <f>587.6/F112</f>
        <v>293.8</v>
      </c>
      <c r="I112" s="62">
        <f t="shared" si="9"/>
        <v>587.6</v>
      </c>
      <c r="J112" s="13"/>
      <c r="L112" s="2"/>
    </row>
    <row r="113" spans="1:12" ht="78.75" x14ac:dyDescent="0.25">
      <c r="A113" s="9"/>
      <c r="B113" s="8"/>
      <c r="C113" s="4"/>
      <c r="D113" s="15" t="s">
        <v>188</v>
      </c>
      <c r="E113" s="31"/>
      <c r="F113" s="31">
        <f>4</f>
        <v>4</v>
      </c>
      <c r="G113" s="13" t="s">
        <v>185</v>
      </c>
      <c r="H113" s="31">
        <f>159.4/F113</f>
        <v>39.85</v>
      </c>
      <c r="I113" s="62">
        <f t="shared" si="9"/>
        <v>159.4</v>
      </c>
      <c r="J113" s="13"/>
      <c r="L113" s="2"/>
    </row>
    <row r="114" spans="1:12" ht="47.25" x14ac:dyDescent="0.25">
      <c r="A114" s="9"/>
      <c r="B114" s="8"/>
      <c r="C114" s="4"/>
      <c r="D114" s="15" t="s">
        <v>189</v>
      </c>
      <c r="E114" s="31"/>
      <c r="F114" s="31">
        <f>4</f>
        <v>4</v>
      </c>
      <c r="G114" s="13" t="s">
        <v>30</v>
      </c>
      <c r="H114" s="31">
        <f>3577/F114</f>
        <v>894.25</v>
      </c>
      <c r="I114" s="62">
        <f t="shared" si="9"/>
        <v>3577</v>
      </c>
      <c r="J114" s="13"/>
      <c r="L114" s="2"/>
    </row>
    <row r="115" spans="1:12" ht="18.75" x14ac:dyDescent="0.25">
      <c r="A115" s="9"/>
      <c r="B115" s="8"/>
      <c r="C115" s="4"/>
      <c r="D115" s="15" t="s">
        <v>168</v>
      </c>
      <c r="E115" s="42"/>
      <c r="F115" s="42">
        <f>1</f>
        <v>1</v>
      </c>
      <c r="G115" s="13" t="s">
        <v>31</v>
      </c>
      <c r="H115" s="42">
        <f>8198.8/F115</f>
        <v>8198.7999999999993</v>
      </c>
      <c r="I115" s="42">
        <f t="shared" si="9"/>
        <v>8198.7999999999993</v>
      </c>
      <c r="J115" s="13" t="s">
        <v>119</v>
      </c>
      <c r="L115" s="2"/>
    </row>
    <row r="116" spans="1:12" ht="18.75" x14ac:dyDescent="0.25">
      <c r="A116" s="9"/>
      <c r="B116" s="8"/>
      <c r="C116" s="4"/>
      <c r="D116" s="15" t="s">
        <v>169</v>
      </c>
      <c r="E116" s="42"/>
      <c r="F116" s="42">
        <f>3</f>
        <v>3</v>
      </c>
      <c r="G116" s="13" t="s">
        <v>31</v>
      </c>
      <c r="H116" s="49">
        <f>6841.2/F116</f>
        <v>2280.4</v>
      </c>
      <c r="I116" s="42">
        <f t="shared" si="9"/>
        <v>6841.2000000000007</v>
      </c>
      <c r="J116" s="13" t="s">
        <v>119</v>
      </c>
      <c r="L116" s="2"/>
    </row>
    <row r="117" spans="1:12" ht="31.5" x14ac:dyDescent="0.25">
      <c r="A117" s="9"/>
      <c r="B117" s="8"/>
      <c r="C117" s="4"/>
      <c r="D117" s="15" t="s">
        <v>183</v>
      </c>
      <c r="E117" s="31"/>
      <c r="F117" s="31">
        <f>2+1+2</f>
        <v>5</v>
      </c>
      <c r="G117" s="13" t="s">
        <v>161</v>
      </c>
      <c r="H117" s="31">
        <f>(12596.2+6432.8+13185)/F117</f>
        <v>6442.8</v>
      </c>
      <c r="I117" s="62">
        <f t="shared" ref="I117:I118" si="10">F117*H117</f>
        <v>32214</v>
      </c>
      <c r="J117" s="13" t="s">
        <v>201</v>
      </c>
      <c r="K117" s="1">
        <f>12596.2+6432.8</f>
        <v>19029</v>
      </c>
      <c r="L117" s="2"/>
    </row>
    <row r="118" spans="1:12" ht="31.5" x14ac:dyDescent="0.25">
      <c r="A118" s="9"/>
      <c r="B118" s="8"/>
      <c r="C118" s="4"/>
      <c r="D118" s="15" t="s">
        <v>182</v>
      </c>
      <c r="E118" s="31"/>
      <c r="F118" s="31">
        <f>1</f>
        <v>1</v>
      </c>
      <c r="G118" s="13" t="s">
        <v>161</v>
      </c>
      <c r="H118" s="31">
        <f>(6321.4)/F118</f>
        <v>6321.4</v>
      </c>
      <c r="I118" s="62">
        <f t="shared" si="10"/>
        <v>6321.4</v>
      </c>
      <c r="J118" s="13" t="s">
        <v>201</v>
      </c>
      <c r="K118" s="1">
        <f>6321.4</f>
        <v>6321.4</v>
      </c>
      <c r="L118" s="2"/>
    </row>
    <row r="119" spans="1:12" ht="31.5" x14ac:dyDescent="0.25">
      <c r="A119" s="9"/>
      <c r="B119" s="8"/>
      <c r="C119" s="4"/>
      <c r="D119" s="15" t="s">
        <v>202</v>
      </c>
      <c r="E119" s="31"/>
      <c r="F119" s="31">
        <f>2+2</f>
        <v>4</v>
      </c>
      <c r="G119" s="13" t="s">
        <v>161</v>
      </c>
      <c r="H119" s="31">
        <f>(13174+13489.8)/F119</f>
        <v>6665.95</v>
      </c>
      <c r="I119" s="62">
        <f t="shared" ref="I119:I120" si="11">F119*H119</f>
        <v>26663.8</v>
      </c>
      <c r="J119" s="13" t="s">
        <v>201</v>
      </c>
      <c r="K119" s="1">
        <f>13174</f>
        <v>13174</v>
      </c>
      <c r="L119" s="2"/>
    </row>
    <row r="120" spans="1:12" ht="31.5" x14ac:dyDescent="0.25">
      <c r="A120" s="9"/>
      <c r="B120" s="8"/>
      <c r="C120" s="4"/>
      <c r="D120" s="15" t="s">
        <v>192</v>
      </c>
      <c r="E120" s="31"/>
      <c r="F120" s="31">
        <f>1</f>
        <v>1</v>
      </c>
      <c r="G120" s="13" t="s">
        <v>30</v>
      </c>
      <c r="H120" s="31">
        <f>1629.2/F120</f>
        <v>1629.2</v>
      </c>
      <c r="I120" s="62">
        <f t="shared" si="11"/>
        <v>1629.2</v>
      </c>
      <c r="J120" s="13"/>
      <c r="L120" s="2"/>
    </row>
    <row r="121" spans="1:12" ht="18.75" x14ac:dyDescent="0.25">
      <c r="A121" s="9"/>
      <c r="B121" s="8"/>
      <c r="C121" s="4"/>
      <c r="D121" s="15" t="s">
        <v>253</v>
      </c>
      <c r="E121" s="31"/>
      <c r="F121" s="31">
        <f>2</f>
        <v>2</v>
      </c>
      <c r="G121" s="13" t="s">
        <v>159</v>
      </c>
      <c r="H121" s="31">
        <f>1813.6/F121</f>
        <v>906.8</v>
      </c>
      <c r="I121" s="62">
        <f>F121*H121</f>
        <v>1813.6</v>
      </c>
      <c r="J121" s="13" t="s">
        <v>154</v>
      </c>
      <c r="K121" s="1">
        <f>1813.6</f>
        <v>1813.6</v>
      </c>
      <c r="L121" s="2"/>
    </row>
    <row r="122" spans="1:12" ht="18.75" x14ac:dyDescent="0.25">
      <c r="A122" s="9"/>
      <c r="B122" s="8"/>
      <c r="C122" s="4"/>
      <c r="D122" s="15" t="s">
        <v>254</v>
      </c>
      <c r="E122" s="31"/>
      <c r="F122" s="31">
        <v>1</v>
      </c>
      <c r="G122" s="13" t="s">
        <v>159</v>
      </c>
      <c r="H122" s="31">
        <f>506.8</f>
        <v>506.8</v>
      </c>
      <c r="I122" s="62">
        <f>F122*H122</f>
        <v>506.8</v>
      </c>
      <c r="J122" s="13" t="s">
        <v>124</v>
      </c>
      <c r="K122" s="1">
        <v>506.8</v>
      </c>
      <c r="L122" s="2"/>
    </row>
    <row r="123" spans="1:12" ht="18.75" x14ac:dyDescent="0.25">
      <c r="A123" s="9"/>
      <c r="B123" s="8"/>
      <c r="C123" s="4"/>
      <c r="D123" s="15" t="s">
        <v>216</v>
      </c>
      <c r="E123" s="31"/>
      <c r="F123" s="31">
        <v>1</v>
      </c>
      <c r="G123" s="13" t="s">
        <v>31</v>
      </c>
      <c r="H123" s="31">
        <f>11792.6/F123</f>
        <v>11792.6</v>
      </c>
      <c r="I123" s="62">
        <f>F123*H123</f>
        <v>11792.6</v>
      </c>
      <c r="J123" s="13" t="s">
        <v>119</v>
      </c>
      <c r="L123" s="2"/>
    </row>
    <row r="124" spans="1:12" ht="18.75" x14ac:dyDescent="0.25">
      <c r="A124" s="9" t="s">
        <v>84</v>
      </c>
      <c r="B124" s="8"/>
      <c r="C124" s="4"/>
      <c r="D124" s="15" t="s">
        <v>70</v>
      </c>
      <c r="E124" s="42" t="s">
        <v>143</v>
      </c>
      <c r="F124" s="42"/>
      <c r="G124" s="13" t="s">
        <v>55</v>
      </c>
      <c r="H124" s="42"/>
      <c r="I124" s="42" t="s">
        <v>143</v>
      </c>
      <c r="J124" s="13"/>
      <c r="L124" s="2"/>
    </row>
    <row r="125" spans="1:12" ht="18.75" x14ac:dyDescent="0.25">
      <c r="A125" s="9"/>
      <c r="B125" s="8"/>
      <c r="C125" s="4"/>
      <c r="D125" s="15" t="s">
        <v>217</v>
      </c>
      <c r="E125" s="42"/>
      <c r="F125" s="42">
        <f>1</f>
        <v>1</v>
      </c>
      <c r="G125" s="13" t="s">
        <v>31</v>
      </c>
      <c r="H125" s="42">
        <f>7058.8/F125</f>
        <v>7058.8</v>
      </c>
      <c r="I125" s="61">
        <f>F125*H125</f>
        <v>7058.8</v>
      </c>
      <c r="J125" s="13" t="s">
        <v>119</v>
      </c>
      <c r="L125" s="2"/>
    </row>
    <row r="126" spans="1:12" ht="18.75" x14ac:dyDescent="0.25">
      <c r="A126" s="9"/>
      <c r="B126" s="8"/>
      <c r="C126" s="4"/>
      <c r="D126" s="15" t="s">
        <v>158</v>
      </c>
      <c r="E126" s="42"/>
      <c r="F126" s="42">
        <f>1+1</f>
        <v>2</v>
      </c>
      <c r="G126" s="13" t="s">
        <v>31</v>
      </c>
      <c r="H126" s="42">
        <f>(22068+124945.6)/F126</f>
        <v>73506.8</v>
      </c>
      <c r="I126" s="61">
        <f>F126*H126</f>
        <v>147013.6</v>
      </c>
      <c r="J126" s="13" t="s">
        <v>119</v>
      </c>
      <c r="K126" s="1">
        <v>22068</v>
      </c>
      <c r="L126" s="2"/>
    </row>
    <row r="127" spans="1:12" ht="31.5" x14ac:dyDescent="0.25">
      <c r="A127" s="9"/>
      <c r="B127" s="8"/>
      <c r="C127" s="4"/>
      <c r="D127" s="15" t="s">
        <v>200</v>
      </c>
      <c r="E127" s="42"/>
      <c r="F127" s="42">
        <f>1+8</f>
        <v>9</v>
      </c>
      <c r="G127" s="13" t="s">
        <v>31</v>
      </c>
      <c r="H127" s="49">
        <f>(1112.4+9613.8)/F127</f>
        <v>1191.8</v>
      </c>
      <c r="I127" s="61">
        <f t="shared" ref="I127" si="12">F127*H127</f>
        <v>10726.199999999999</v>
      </c>
      <c r="J127" s="13" t="s">
        <v>154</v>
      </c>
      <c r="K127" s="1">
        <f>1112.4+9613.8</f>
        <v>10726.199999999999</v>
      </c>
      <c r="L127" s="2"/>
    </row>
    <row r="128" spans="1:12" ht="31.5" x14ac:dyDescent="0.25">
      <c r="A128" s="9"/>
      <c r="B128" s="8"/>
      <c r="C128" s="4"/>
      <c r="D128" s="15" t="s">
        <v>174</v>
      </c>
      <c r="E128" s="42"/>
      <c r="F128" s="42">
        <f>3+1+2+3</f>
        <v>9</v>
      </c>
      <c r="G128" s="13" t="s">
        <v>31</v>
      </c>
      <c r="H128" s="49">
        <f>(3399.8+986.2+1703.4+3179.2)/F128</f>
        <v>1029.8444444444442</v>
      </c>
      <c r="I128" s="61">
        <f>F128*H128</f>
        <v>9268.5999999999985</v>
      </c>
      <c r="J128" s="13" t="s">
        <v>119</v>
      </c>
      <c r="K128" s="1">
        <f>3399.8+986.2</f>
        <v>4386</v>
      </c>
      <c r="L128" s="2"/>
    </row>
    <row r="129" spans="1:12" ht="31.5" x14ac:dyDescent="0.25">
      <c r="A129" s="9"/>
      <c r="B129" s="8"/>
      <c r="C129" s="4"/>
      <c r="D129" s="15" t="s">
        <v>175</v>
      </c>
      <c r="E129" s="42"/>
      <c r="F129" s="42">
        <f>2+2+2</f>
        <v>6</v>
      </c>
      <c r="G129" s="13" t="s">
        <v>31</v>
      </c>
      <c r="H129" s="49">
        <f>(3389+2858.8+2923.6)/F129</f>
        <v>1528.5666666666666</v>
      </c>
      <c r="I129" s="61">
        <f>F129*H129</f>
        <v>9171.4</v>
      </c>
      <c r="J129" s="13" t="s">
        <v>119</v>
      </c>
      <c r="K129" s="1">
        <f>3389+2858.8</f>
        <v>6247.8</v>
      </c>
      <c r="L129" s="2"/>
    </row>
    <row r="130" spans="1:12" ht="31.5" x14ac:dyDescent="0.25">
      <c r="A130" s="9" t="s">
        <v>21</v>
      </c>
      <c r="B130" s="8"/>
      <c r="C130" s="4"/>
      <c r="D130" s="15" t="s">
        <v>71</v>
      </c>
      <c r="E130" s="42" t="s">
        <v>143</v>
      </c>
      <c r="F130" s="42"/>
      <c r="G130" s="13" t="s">
        <v>148</v>
      </c>
      <c r="H130" s="42"/>
      <c r="I130" s="42" t="s">
        <v>143</v>
      </c>
      <c r="J130" s="13"/>
      <c r="L130" s="2"/>
    </row>
    <row r="131" spans="1:12" ht="31.5" x14ac:dyDescent="0.25">
      <c r="A131" s="9"/>
      <c r="B131" s="8"/>
      <c r="C131" s="4"/>
      <c r="D131" s="15" t="s">
        <v>215</v>
      </c>
      <c r="E131" s="42" t="s">
        <v>143</v>
      </c>
      <c r="F131" s="42">
        <v>1</v>
      </c>
      <c r="G131" s="13" t="s">
        <v>148</v>
      </c>
      <c r="H131" s="42">
        <f>25000/F131</f>
        <v>25000</v>
      </c>
      <c r="I131" s="61">
        <f>F131*H131</f>
        <v>25000</v>
      </c>
      <c r="J131" s="13" t="s">
        <v>119</v>
      </c>
      <c r="L131" s="2"/>
    </row>
    <row r="132" spans="1:12" ht="18.75" x14ac:dyDescent="0.25">
      <c r="A132" s="47"/>
      <c r="B132" s="48"/>
      <c r="C132" s="22"/>
      <c r="D132" s="30"/>
      <c r="E132" s="46"/>
      <c r="F132" s="46"/>
      <c r="G132" s="31"/>
      <c r="H132" s="42"/>
      <c r="I132" s="49">
        <f>SUM(I107:I131)</f>
        <v>327773.53333333338</v>
      </c>
      <c r="J132" s="13"/>
      <c r="L132" s="2"/>
    </row>
    <row r="133" spans="1:12" ht="18.75" x14ac:dyDescent="0.3">
      <c r="A133" s="74" t="s">
        <v>73</v>
      </c>
      <c r="B133" s="75"/>
      <c r="C133" s="75"/>
      <c r="D133" s="75"/>
      <c r="E133" s="75"/>
      <c r="F133" s="75"/>
      <c r="G133" s="76"/>
      <c r="H133" s="13"/>
      <c r="I133" s="5"/>
      <c r="J133" s="13"/>
      <c r="L133" s="2"/>
    </row>
    <row r="134" spans="1:12" ht="37.5" x14ac:dyDescent="0.25">
      <c r="A134" s="9" t="s">
        <v>93</v>
      </c>
      <c r="B134" s="8"/>
      <c r="C134" s="4"/>
      <c r="D134" s="4" t="s">
        <v>132</v>
      </c>
      <c r="E134" s="31"/>
      <c r="F134" s="13">
        <f>6+6+8+2+4+5+4+6+4+15</f>
        <v>60</v>
      </c>
      <c r="G134" s="13" t="s">
        <v>116</v>
      </c>
      <c r="H134" s="33">
        <f>(3790.8+3790.8+5052.4+1291.6+2584.8+3230.2+2653.4+4103+2737+10259)/F134/3</f>
        <v>219.40555555555557</v>
      </c>
      <c r="I134" s="33">
        <f>F134*H134</f>
        <v>13164.333333333334</v>
      </c>
      <c r="J134" s="13" t="s">
        <v>117</v>
      </c>
      <c r="L134" s="2"/>
    </row>
    <row r="135" spans="1:12" ht="31.5" x14ac:dyDescent="0.25">
      <c r="A135" s="9"/>
      <c r="B135" s="8"/>
      <c r="C135" s="4"/>
      <c r="D135" s="15" t="s">
        <v>186</v>
      </c>
      <c r="E135" s="31"/>
      <c r="F135" s="31">
        <f>2</f>
        <v>2</v>
      </c>
      <c r="G135" s="13" t="s">
        <v>30</v>
      </c>
      <c r="H135" s="31">
        <f>(601.8)/F135</f>
        <v>300.89999999999998</v>
      </c>
      <c r="I135" s="62">
        <f>F135*H135</f>
        <v>601.79999999999995</v>
      </c>
      <c r="J135" s="13" t="s">
        <v>119</v>
      </c>
      <c r="K135" s="1">
        <f>601.8</f>
        <v>601.79999999999995</v>
      </c>
      <c r="L135" s="2"/>
    </row>
    <row r="136" spans="1:12" ht="78.75" x14ac:dyDescent="0.25">
      <c r="A136" s="9"/>
      <c r="B136" s="8"/>
      <c r="C136" s="4"/>
      <c r="D136" s="15" t="s">
        <v>187</v>
      </c>
      <c r="E136" s="31"/>
      <c r="F136" s="31"/>
      <c r="G136" s="13" t="s">
        <v>185</v>
      </c>
      <c r="H136" s="31"/>
      <c r="I136" s="31"/>
      <c r="J136" s="13"/>
      <c r="L136" s="2"/>
    </row>
    <row r="137" spans="1:12" ht="47.25" x14ac:dyDescent="0.25">
      <c r="A137" s="9"/>
      <c r="B137" s="8"/>
      <c r="C137" s="4"/>
      <c r="D137" s="15" t="s">
        <v>160</v>
      </c>
      <c r="E137" s="31"/>
      <c r="F137" s="31"/>
      <c r="G137" s="13" t="s">
        <v>30</v>
      </c>
      <c r="H137" s="31"/>
      <c r="I137" s="31"/>
      <c r="J137" s="13"/>
      <c r="L137" s="2"/>
    </row>
    <row r="138" spans="1:12" ht="78.75" x14ac:dyDescent="0.25">
      <c r="A138" s="9"/>
      <c r="B138" s="8"/>
      <c r="C138" s="4"/>
      <c r="D138" s="15" t="s">
        <v>188</v>
      </c>
      <c r="E138" s="31"/>
      <c r="F138" s="31">
        <f>3</f>
        <v>3</v>
      </c>
      <c r="G138" s="13" t="s">
        <v>185</v>
      </c>
      <c r="H138" s="58">
        <f>(118.6)/F138</f>
        <v>39.533333333333331</v>
      </c>
      <c r="I138" s="62">
        <f>F138*H138</f>
        <v>118.6</v>
      </c>
      <c r="J138" s="13" t="s">
        <v>124</v>
      </c>
      <c r="K138" s="1">
        <f>118.6</f>
        <v>118.6</v>
      </c>
      <c r="L138" s="2"/>
    </row>
    <row r="139" spans="1:12" ht="47.25" x14ac:dyDescent="0.25">
      <c r="A139" s="9"/>
      <c r="B139" s="8"/>
      <c r="C139" s="4"/>
      <c r="D139" s="15" t="s">
        <v>189</v>
      </c>
      <c r="E139" s="31"/>
      <c r="F139" s="31">
        <f>2</f>
        <v>2</v>
      </c>
      <c r="G139" s="13" t="s">
        <v>30</v>
      </c>
      <c r="H139" s="31">
        <f>(1016.6)/F139</f>
        <v>508.3</v>
      </c>
      <c r="I139" s="62">
        <f t="shared" ref="I139:I141" si="13">F139*H139</f>
        <v>1016.6</v>
      </c>
      <c r="J139" s="13" t="s">
        <v>124</v>
      </c>
      <c r="K139" s="1">
        <f>1016.6</f>
        <v>1016.6</v>
      </c>
      <c r="L139" s="2"/>
    </row>
    <row r="140" spans="1:12" ht="47.25" x14ac:dyDescent="0.25">
      <c r="A140" s="9"/>
      <c r="B140" s="8"/>
      <c r="C140" s="4"/>
      <c r="D140" s="15" t="s">
        <v>190</v>
      </c>
      <c r="E140" s="31"/>
      <c r="F140" s="31"/>
      <c r="G140" s="13" t="s">
        <v>30</v>
      </c>
      <c r="H140" s="31"/>
      <c r="I140" s="31"/>
      <c r="J140" s="13"/>
      <c r="L140" s="2"/>
    </row>
    <row r="141" spans="1:12" ht="31.5" x14ac:dyDescent="0.25">
      <c r="A141" s="9"/>
      <c r="B141" s="8"/>
      <c r="C141" s="4"/>
      <c r="D141" s="15" t="s">
        <v>191</v>
      </c>
      <c r="E141" s="31"/>
      <c r="F141" s="31"/>
      <c r="G141" s="13" t="s">
        <v>30</v>
      </c>
      <c r="H141" s="31"/>
      <c r="I141" s="31"/>
      <c r="J141" s="13"/>
      <c r="L141" s="2"/>
    </row>
    <row r="142" spans="1:12" ht="31.5" x14ac:dyDescent="0.25">
      <c r="A142" s="9"/>
      <c r="B142" s="8"/>
      <c r="C142" s="4"/>
      <c r="D142" s="15" t="s">
        <v>192</v>
      </c>
      <c r="E142" s="31"/>
      <c r="F142" s="31"/>
      <c r="G142" s="13" t="s">
        <v>30</v>
      </c>
      <c r="H142" s="31"/>
      <c r="I142" s="31"/>
      <c r="J142" s="13"/>
      <c r="L142" s="2"/>
    </row>
    <row r="143" spans="1:12" ht="31.5" x14ac:dyDescent="0.25">
      <c r="A143" s="9"/>
      <c r="B143" s="8"/>
      <c r="C143" s="4"/>
      <c r="D143" s="15" t="s">
        <v>193</v>
      </c>
      <c r="E143" s="31"/>
      <c r="F143" s="31"/>
      <c r="G143" s="13" t="s">
        <v>30</v>
      </c>
      <c r="H143" s="31"/>
      <c r="I143" s="31"/>
      <c r="J143" s="13"/>
      <c r="L143" s="2"/>
    </row>
    <row r="144" spans="1:12" ht="31.5" x14ac:dyDescent="0.25">
      <c r="A144" s="9"/>
      <c r="B144" s="8"/>
      <c r="C144" s="4"/>
      <c r="D144" s="15" t="s">
        <v>183</v>
      </c>
      <c r="E144" s="31"/>
      <c r="F144" s="31">
        <f>2+1</f>
        <v>3</v>
      </c>
      <c r="G144" s="13" t="s">
        <v>161</v>
      </c>
      <c r="H144" s="31">
        <f>(13579.8+6789.6)/F144</f>
        <v>6789.8</v>
      </c>
      <c r="I144" s="62">
        <f>F144*H144</f>
        <v>20369.400000000001</v>
      </c>
      <c r="J144" s="13" t="s">
        <v>154</v>
      </c>
      <c r="L144" s="2"/>
    </row>
    <row r="145" spans="1:12" ht="18.75" x14ac:dyDescent="0.25">
      <c r="A145" s="9"/>
      <c r="B145" s="8"/>
      <c r="C145" s="4"/>
      <c r="D145" s="15" t="s">
        <v>205</v>
      </c>
      <c r="E145" s="31"/>
      <c r="F145" s="31"/>
      <c r="G145" s="13" t="s">
        <v>159</v>
      </c>
      <c r="H145" s="31"/>
      <c r="I145" s="31"/>
      <c r="J145" s="13"/>
      <c r="L145" s="2"/>
    </row>
    <row r="146" spans="1:12" ht="18.75" x14ac:dyDescent="0.25">
      <c r="A146" s="9" t="s">
        <v>84</v>
      </c>
      <c r="B146" s="8"/>
      <c r="C146" s="4"/>
      <c r="D146" s="15" t="s">
        <v>70</v>
      </c>
      <c r="E146" s="42" t="s">
        <v>143</v>
      </c>
      <c r="F146" s="42" t="s">
        <v>143</v>
      </c>
      <c r="G146" s="14" t="s">
        <v>55</v>
      </c>
      <c r="H146" s="42" t="s">
        <v>143</v>
      </c>
      <c r="I146" s="42" t="s">
        <v>143</v>
      </c>
      <c r="J146" s="13"/>
      <c r="L146" s="2"/>
    </row>
    <row r="147" spans="1:12" ht="18.75" x14ac:dyDescent="0.25">
      <c r="A147" s="9"/>
      <c r="B147" s="8"/>
      <c r="C147" s="4"/>
      <c r="D147" s="15" t="s">
        <v>256</v>
      </c>
      <c r="E147" s="42"/>
      <c r="F147" s="42">
        <f>1</f>
        <v>1</v>
      </c>
      <c r="G147" s="14" t="s">
        <v>31</v>
      </c>
      <c r="H147" s="42">
        <f>1196.6/1</f>
        <v>1196.5999999999999</v>
      </c>
      <c r="I147" s="61">
        <f>F147*H147</f>
        <v>1196.5999999999999</v>
      </c>
      <c r="J147" s="13"/>
      <c r="L147" s="2"/>
    </row>
    <row r="148" spans="1:12" ht="31.5" x14ac:dyDescent="0.25">
      <c r="A148" s="9" t="s">
        <v>21</v>
      </c>
      <c r="B148" s="8"/>
      <c r="C148" s="4"/>
      <c r="D148" s="15" t="s">
        <v>71</v>
      </c>
      <c r="E148" s="42" t="s">
        <v>143</v>
      </c>
      <c r="F148" s="42" t="s">
        <v>143</v>
      </c>
      <c r="G148" s="14" t="s">
        <v>55</v>
      </c>
      <c r="H148" s="42" t="s">
        <v>143</v>
      </c>
      <c r="I148" s="42" t="s">
        <v>143</v>
      </c>
      <c r="J148" s="13"/>
      <c r="L148" s="2"/>
    </row>
    <row r="149" spans="1:12" ht="18.75" x14ac:dyDescent="0.25">
      <c r="A149" s="47"/>
      <c r="B149" s="48"/>
      <c r="C149" s="22"/>
      <c r="D149" s="30"/>
      <c r="E149" s="46"/>
      <c r="F149" s="46"/>
      <c r="G149" s="12"/>
      <c r="H149" s="42"/>
      <c r="I149" s="49">
        <f>SUM(I134:I148)</f>
        <v>36467.333333333336</v>
      </c>
      <c r="J149" s="13"/>
      <c r="L149" s="2"/>
    </row>
    <row r="150" spans="1:12" ht="18.75" x14ac:dyDescent="0.3">
      <c r="A150" s="74" t="s">
        <v>74</v>
      </c>
      <c r="B150" s="75"/>
      <c r="C150" s="75"/>
      <c r="D150" s="75"/>
      <c r="E150" s="75"/>
      <c r="F150" s="75"/>
      <c r="G150" s="76"/>
      <c r="H150" s="19"/>
      <c r="I150" s="5"/>
      <c r="J150" s="13"/>
      <c r="L150" s="2"/>
    </row>
    <row r="151" spans="1:12" ht="37.5" x14ac:dyDescent="0.25">
      <c r="A151" s="9" t="s">
        <v>98</v>
      </c>
      <c r="B151" s="8"/>
      <c r="C151" s="4"/>
      <c r="D151" s="4" t="s">
        <v>133</v>
      </c>
      <c r="E151" s="31"/>
      <c r="F151" s="13">
        <f>6+6+8+2+4+5+4+6+4+15</f>
        <v>60</v>
      </c>
      <c r="G151" s="13" t="s">
        <v>116</v>
      </c>
      <c r="H151" s="33">
        <f>(3790.8+3790.8+5052.4+1291.6+2584.8+3230.2+2653.4+4103+2737+10259)/F151/3</f>
        <v>219.40555555555557</v>
      </c>
      <c r="I151" s="33">
        <f>F151*H151</f>
        <v>13164.333333333334</v>
      </c>
      <c r="J151" s="13" t="s">
        <v>117</v>
      </c>
      <c r="L151" s="2"/>
    </row>
    <row r="152" spans="1:12" ht="31.5" x14ac:dyDescent="0.25">
      <c r="A152" s="9"/>
      <c r="B152" s="8"/>
      <c r="C152" s="4"/>
      <c r="D152" s="15" t="s">
        <v>123</v>
      </c>
      <c r="E152" s="42"/>
      <c r="F152" s="42">
        <f>1</f>
        <v>1</v>
      </c>
      <c r="G152" s="13" t="s">
        <v>30</v>
      </c>
      <c r="H152" s="42">
        <f>1269/F152</f>
        <v>1269</v>
      </c>
      <c r="I152" s="61">
        <f>H152*F152</f>
        <v>1269</v>
      </c>
      <c r="J152" s="13" t="s">
        <v>124</v>
      </c>
      <c r="L152" s="2"/>
    </row>
    <row r="153" spans="1:12" ht="31.5" x14ac:dyDescent="0.25">
      <c r="A153" s="9"/>
      <c r="B153" s="8"/>
      <c r="C153" s="4"/>
      <c r="D153" s="15" t="s">
        <v>257</v>
      </c>
      <c r="E153" s="42"/>
      <c r="F153" s="42">
        <f>1</f>
        <v>1</v>
      </c>
      <c r="G153" s="13" t="s">
        <v>30</v>
      </c>
      <c r="H153" s="42">
        <f>904/F153</f>
        <v>904</v>
      </c>
      <c r="I153" s="61">
        <f>H153*F153</f>
        <v>904</v>
      </c>
      <c r="J153" s="13"/>
      <c r="L153" s="2"/>
    </row>
    <row r="154" spans="1:12" ht="18.75" x14ac:dyDescent="0.25">
      <c r="A154" s="9"/>
      <c r="B154" s="8"/>
      <c r="C154" s="4"/>
      <c r="D154" s="4" t="s">
        <v>115</v>
      </c>
      <c r="E154" s="42"/>
      <c r="F154" s="42">
        <f>6+5</f>
        <v>11</v>
      </c>
      <c r="G154" s="13" t="s">
        <v>30</v>
      </c>
      <c r="H154" s="49">
        <f>(1897.2+1631)/F154</f>
        <v>320.74545454545455</v>
      </c>
      <c r="I154" s="61">
        <f>F154*H154</f>
        <v>3528.2</v>
      </c>
      <c r="J154" s="13" t="s">
        <v>117</v>
      </c>
      <c r="L154" s="2"/>
    </row>
    <row r="155" spans="1:12" ht="18.75" x14ac:dyDescent="0.25">
      <c r="A155" s="9"/>
      <c r="B155" s="8"/>
      <c r="C155" s="4"/>
      <c r="D155" s="4" t="s">
        <v>164</v>
      </c>
      <c r="E155" s="42"/>
      <c r="F155" s="42"/>
      <c r="G155" s="13" t="s">
        <v>30</v>
      </c>
      <c r="H155" s="42"/>
      <c r="I155" s="42">
        <f>F155*H155</f>
        <v>0</v>
      </c>
      <c r="J155" s="13" t="s">
        <v>117</v>
      </c>
      <c r="L155" s="2"/>
    </row>
    <row r="156" spans="1:12" ht="18.75" x14ac:dyDescent="0.25">
      <c r="A156" s="9"/>
      <c r="B156" s="8"/>
      <c r="C156" s="4"/>
      <c r="D156" s="4" t="s">
        <v>157</v>
      </c>
      <c r="E156" s="42"/>
      <c r="F156" s="42">
        <f>18+18+18+20</f>
        <v>74</v>
      </c>
      <c r="G156" s="13" t="s">
        <v>140</v>
      </c>
      <c r="H156" s="49">
        <f>(1055.2+3315.8+1109.8+1269.2)/F156</f>
        <v>91.21621621621621</v>
      </c>
      <c r="I156" s="42">
        <f>F156*H156</f>
        <v>6750</v>
      </c>
      <c r="J156" s="13" t="s">
        <v>117</v>
      </c>
      <c r="L156" s="2"/>
    </row>
    <row r="157" spans="1:12" ht="18.75" x14ac:dyDescent="0.25">
      <c r="A157" s="9" t="s">
        <v>22</v>
      </c>
      <c r="B157" s="8"/>
      <c r="C157" s="4"/>
      <c r="D157" s="4" t="s">
        <v>77</v>
      </c>
      <c r="E157" s="42" t="s">
        <v>143</v>
      </c>
      <c r="F157" s="42" t="s">
        <v>143</v>
      </c>
      <c r="G157" s="13" t="s">
        <v>30</v>
      </c>
      <c r="H157" s="42"/>
      <c r="I157" s="42" t="s">
        <v>143</v>
      </c>
      <c r="J157" s="13"/>
      <c r="L157" s="2"/>
    </row>
    <row r="158" spans="1:12" ht="18.75" x14ac:dyDescent="0.25">
      <c r="A158" s="47"/>
      <c r="B158" s="48"/>
      <c r="C158" s="22"/>
      <c r="D158" s="22"/>
      <c r="E158" s="46"/>
      <c r="F158" s="46"/>
      <c r="G158" s="31"/>
      <c r="H158" s="42"/>
      <c r="I158" s="49">
        <f>SUM(I151:I157)</f>
        <v>25615.533333333333</v>
      </c>
      <c r="J158" s="13"/>
      <c r="L158" s="2"/>
    </row>
    <row r="159" spans="1:12" ht="18.75" x14ac:dyDescent="0.3">
      <c r="A159" s="74" t="s">
        <v>79</v>
      </c>
      <c r="B159" s="75"/>
      <c r="C159" s="75"/>
      <c r="D159" s="75"/>
      <c r="E159" s="75"/>
      <c r="F159" s="75"/>
      <c r="G159" s="76"/>
      <c r="H159" s="5"/>
      <c r="I159" s="5"/>
      <c r="J159" s="13"/>
      <c r="L159" s="2"/>
    </row>
    <row r="160" spans="1:12" ht="38.25" customHeight="1" x14ac:dyDescent="0.25">
      <c r="A160" s="9" t="s">
        <v>23</v>
      </c>
      <c r="B160" s="5"/>
      <c r="C160" s="4"/>
      <c r="D160" s="15" t="s">
        <v>146</v>
      </c>
      <c r="E160" s="42" t="s">
        <v>143</v>
      </c>
      <c r="F160" s="42" t="s">
        <v>143</v>
      </c>
      <c r="G160" s="13" t="s">
        <v>55</v>
      </c>
      <c r="H160" s="42" t="s">
        <v>143</v>
      </c>
      <c r="I160" s="42" t="s">
        <v>143</v>
      </c>
      <c r="J160" s="13"/>
      <c r="L160" s="2"/>
    </row>
    <row r="161" spans="1:12" ht="38.25" customHeight="1" x14ac:dyDescent="0.25">
      <c r="A161" s="9"/>
      <c r="B161" s="5"/>
      <c r="C161" s="4"/>
      <c r="D161" s="15" t="s">
        <v>178</v>
      </c>
      <c r="E161" s="42"/>
      <c r="F161" s="42"/>
      <c r="G161" s="13" t="s">
        <v>31</v>
      </c>
      <c r="H161" s="42"/>
      <c r="I161" s="42"/>
      <c r="J161" s="13"/>
      <c r="L161" s="2"/>
    </row>
    <row r="162" spans="1:12" ht="18.75" x14ac:dyDescent="0.25">
      <c r="A162" s="9" t="s">
        <v>24</v>
      </c>
      <c r="B162" s="5"/>
      <c r="C162" s="4"/>
      <c r="D162" s="4" t="s">
        <v>78</v>
      </c>
      <c r="E162" s="42"/>
      <c r="F162" s="42"/>
      <c r="G162" s="13" t="s">
        <v>55</v>
      </c>
      <c r="H162" s="42"/>
      <c r="I162" s="42" t="s">
        <v>143</v>
      </c>
      <c r="J162" s="13"/>
      <c r="L162" s="2"/>
    </row>
    <row r="163" spans="1:12" ht="31.5" x14ac:dyDescent="0.25">
      <c r="A163" s="9" t="s">
        <v>129</v>
      </c>
      <c r="B163" s="5"/>
      <c r="C163" s="4"/>
      <c r="D163" s="15" t="s">
        <v>156</v>
      </c>
      <c r="E163" s="42"/>
      <c r="F163" s="42"/>
      <c r="G163" s="13" t="s">
        <v>55</v>
      </c>
      <c r="H163" s="42"/>
      <c r="I163" s="42" t="s">
        <v>143</v>
      </c>
      <c r="J163" s="13" t="s">
        <v>154</v>
      </c>
      <c r="L163" s="2"/>
    </row>
    <row r="164" spans="1:12" ht="18.75" x14ac:dyDescent="0.25">
      <c r="A164" s="9"/>
      <c r="B164" s="5"/>
      <c r="C164" s="4"/>
      <c r="D164" s="15" t="s">
        <v>223</v>
      </c>
      <c r="E164" s="42"/>
      <c r="F164" s="42">
        <f>20</f>
        <v>20</v>
      </c>
      <c r="G164" s="13" t="s">
        <v>152</v>
      </c>
      <c r="H164" s="42">
        <f>5749.8/F164</f>
        <v>287.49</v>
      </c>
      <c r="I164" s="61">
        <f>F164*H164</f>
        <v>5749.8</v>
      </c>
      <c r="J164" s="13" t="s">
        <v>119</v>
      </c>
      <c r="L164" s="2"/>
    </row>
    <row r="165" spans="1:12" ht="18.75" x14ac:dyDescent="0.25">
      <c r="A165" s="9"/>
      <c r="B165" s="5"/>
      <c r="C165" s="4"/>
      <c r="D165" s="15" t="s">
        <v>224</v>
      </c>
      <c r="E165" s="42"/>
      <c r="F165" s="42">
        <f>20</f>
        <v>20</v>
      </c>
      <c r="G165" s="13" t="s">
        <v>152</v>
      </c>
      <c r="H165" s="42">
        <f>8368.4/F165</f>
        <v>418.41999999999996</v>
      </c>
      <c r="I165" s="61">
        <f>F165*H165</f>
        <v>8368.4</v>
      </c>
      <c r="J165" s="13" t="s">
        <v>119</v>
      </c>
      <c r="L165" s="2"/>
    </row>
    <row r="166" spans="1:12" ht="18.75" x14ac:dyDescent="0.25">
      <c r="A166" s="9"/>
      <c r="B166" s="5"/>
      <c r="C166" s="4"/>
      <c r="D166" s="15" t="s">
        <v>179</v>
      </c>
      <c r="E166" s="42"/>
      <c r="F166" s="42"/>
      <c r="G166" s="13" t="s">
        <v>152</v>
      </c>
      <c r="H166" s="42"/>
      <c r="I166" s="42"/>
      <c r="J166" s="13"/>
      <c r="L166" s="2"/>
    </row>
    <row r="167" spans="1:12" ht="31.5" x14ac:dyDescent="0.25">
      <c r="A167" s="9"/>
      <c r="B167" s="5"/>
      <c r="C167" s="4"/>
      <c r="D167" s="15" t="s">
        <v>130</v>
      </c>
      <c r="E167" s="31"/>
      <c r="F167" s="13">
        <f>1</f>
        <v>1</v>
      </c>
      <c r="G167" s="13" t="s">
        <v>31</v>
      </c>
      <c r="H167" s="13">
        <f>1699.8/F167</f>
        <v>1699.8</v>
      </c>
      <c r="I167" s="13">
        <f t="shared" ref="I167:I169" si="14">F167*H167</f>
        <v>1699.8</v>
      </c>
      <c r="J167" s="13" t="s">
        <v>124</v>
      </c>
      <c r="L167" s="2"/>
    </row>
    <row r="168" spans="1:12" ht="18.75" x14ac:dyDescent="0.25">
      <c r="A168" s="9"/>
      <c r="B168" s="5"/>
      <c r="C168" s="4"/>
      <c r="D168" s="15" t="s">
        <v>180</v>
      </c>
      <c r="E168" s="42"/>
      <c r="F168" s="42"/>
      <c r="G168" s="13" t="s">
        <v>55</v>
      </c>
      <c r="H168" s="42"/>
      <c r="I168" s="42"/>
      <c r="J168" s="13"/>
      <c r="L168" s="2"/>
    </row>
    <row r="169" spans="1:12" ht="18.75" x14ac:dyDescent="0.25">
      <c r="A169" s="9"/>
      <c r="B169" s="5"/>
      <c r="C169" s="4"/>
      <c r="D169" s="15" t="s">
        <v>107</v>
      </c>
      <c r="E169" s="32"/>
      <c r="F169" s="13">
        <f>1+8+11+1+18+1+12+3+1</f>
        <v>56</v>
      </c>
      <c r="G169" s="13" t="s">
        <v>55</v>
      </c>
      <c r="H169" s="33">
        <f>(168.8+1342+1846.4+168.8+3049+172+2051.8+512.8+173)/F169</f>
        <v>169.3678571428571</v>
      </c>
      <c r="I169" s="13">
        <f t="shared" si="14"/>
        <v>9484.5999999999985</v>
      </c>
      <c r="J169" s="13" t="s">
        <v>117</v>
      </c>
      <c r="L169" s="2"/>
    </row>
    <row r="170" spans="1:12" ht="18.75" x14ac:dyDescent="0.25">
      <c r="A170" s="9"/>
      <c r="B170" s="5"/>
      <c r="C170" s="4"/>
      <c r="D170" s="15" t="s">
        <v>145</v>
      </c>
      <c r="E170" s="42"/>
      <c r="F170" s="42"/>
      <c r="G170" s="13" t="s">
        <v>31</v>
      </c>
      <c r="H170" s="42"/>
      <c r="I170" s="42" t="s">
        <v>143</v>
      </c>
      <c r="J170" s="13"/>
      <c r="L170" s="2"/>
    </row>
    <row r="171" spans="1:12" ht="56.25" x14ac:dyDescent="0.25">
      <c r="A171" s="9" t="s">
        <v>108</v>
      </c>
      <c r="B171" s="5"/>
      <c r="C171" s="4"/>
      <c r="D171" s="15" t="s">
        <v>127</v>
      </c>
      <c r="E171" s="32"/>
      <c r="F171" s="13">
        <f>36+36+36+36+36+36+36+36+36+36+36+36</f>
        <v>432</v>
      </c>
      <c r="G171" s="13" t="s">
        <v>109</v>
      </c>
      <c r="H171" s="33">
        <f>(1418.8+1418.8+1418.8+1450.4+1450.4+1450.4+1489.2+1489.2+1489.2+1535+1535+1535)/F171</f>
        <v>40.926388888888887</v>
      </c>
      <c r="I171" s="13">
        <f>F171*H171</f>
        <v>17680.2</v>
      </c>
      <c r="J171" s="13" t="s">
        <v>117</v>
      </c>
      <c r="L171" s="2"/>
    </row>
    <row r="172" spans="1:12" ht="18.75" x14ac:dyDescent="0.25">
      <c r="A172" s="47"/>
      <c r="B172" s="22"/>
      <c r="C172" s="22"/>
      <c r="D172" s="30"/>
      <c r="E172" s="50"/>
      <c r="F172" s="51"/>
      <c r="G172" s="31"/>
      <c r="H172" s="31"/>
      <c r="I172" s="13">
        <f>SUM(I164:I171)</f>
        <v>42982.8</v>
      </c>
      <c r="J172" s="13"/>
      <c r="L172" s="2"/>
    </row>
    <row r="173" spans="1:12" ht="18.75" x14ac:dyDescent="0.25">
      <c r="A173" s="81" t="s">
        <v>92</v>
      </c>
      <c r="B173" s="82"/>
      <c r="C173" s="82"/>
      <c r="D173" s="82"/>
      <c r="E173" s="82"/>
      <c r="F173" s="82"/>
      <c r="G173" s="83"/>
      <c r="H173" s="12"/>
      <c r="I173" s="5"/>
      <c r="J173" s="13"/>
      <c r="L173" s="2"/>
    </row>
    <row r="174" spans="1:12" ht="18.75" x14ac:dyDescent="0.25">
      <c r="A174" s="26"/>
      <c r="B174" s="27"/>
      <c r="C174" s="27"/>
      <c r="D174" s="36" t="s">
        <v>118</v>
      </c>
      <c r="E174" s="42" t="s">
        <v>143</v>
      </c>
      <c r="F174" s="42" t="s">
        <v>143</v>
      </c>
      <c r="G174" s="38" t="s">
        <v>31</v>
      </c>
      <c r="H174" s="42" t="s">
        <v>143</v>
      </c>
      <c r="I174" s="42" t="s">
        <v>143</v>
      </c>
      <c r="J174" s="13"/>
      <c r="L174" s="2"/>
    </row>
    <row r="175" spans="1:12" ht="63" x14ac:dyDescent="0.25">
      <c r="A175" s="9" t="s">
        <v>90</v>
      </c>
      <c r="B175" s="22"/>
      <c r="C175" s="22"/>
      <c r="D175" s="23" t="s">
        <v>120</v>
      </c>
      <c r="E175" s="37">
        <v>1440</v>
      </c>
      <c r="F175" s="13">
        <v>1441</v>
      </c>
      <c r="G175" s="31" t="s">
        <v>91</v>
      </c>
      <c r="H175" s="31">
        <v>4.8</v>
      </c>
      <c r="I175" s="13">
        <f>F175*H175*12</f>
        <v>83001.600000000006</v>
      </c>
      <c r="J175" s="13" t="s">
        <v>117</v>
      </c>
      <c r="L175" s="2"/>
    </row>
    <row r="176" spans="1:12" ht="18.75" x14ac:dyDescent="0.25">
      <c r="A176" s="47"/>
      <c r="B176" s="22"/>
      <c r="C176" s="22"/>
      <c r="D176" s="30"/>
      <c r="E176" s="50"/>
      <c r="F176" s="51"/>
      <c r="G176" s="31"/>
      <c r="H176" s="31"/>
      <c r="I176" s="13">
        <f>SUM(I175)</f>
        <v>83001.600000000006</v>
      </c>
      <c r="J176" s="13"/>
      <c r="L176" s="2"/>
    </row>
    <row r="177" spans="1:12" ht="18.75" x14ac:dyDescent="0.3">
      <c r="A177" s="74" t="s">
        <v>80</v>
      </c>
      <c r="B177" s="75"/>
      <c r="C177" s="75"/>
      <c r="D177" s="75"/>
      <c r="E177" s="75"/>
      <c r="F177" s="75"/>
      <c r="G177" s="76"/>
      <c r="H177" s="19"/>
      <c r="I177" s="5"/>
      <c r="J177" s="13"/>
      <c r="L177" s="2"/>
    </row>
    <row r="178" spans="1:12" ht="46.5" customHeight="1" x14ac:dyDescent="0.3">
      <c r="A178" s="34" t="s">
        <v>135</v>
      </c>
      <c r="B178" s="24"/>
      <c r="C178" s="24"/>
      <c r="D178" s="35" t="s">
        <v>134</v>
      </c>
      <c r="E178" s="13">
        <v>360</v>
      </c>
      <c r="F178" s="13">
        <v>360</v>
      </c>
      <c r="G178" s="13" t="s">
        <v>142</v>
      </c>
      <c r="H178" s="13">
        <v>13</v>
      </c>
      <c r="I178" s="13">
        <f>F178*H178*3</f>
        <v>14040</v>
      </c>
      <c r="J178" s="13" t="s">
        <v>155</v>
      </c>
      <c r="L178" s="2"/>
    </row>
    <row r="179" spans="1:12" ht="18.75" x14ac:dyDescent="0.25">
      <c r="A179" s="9" t="s">
        <v>25</v>
      </c>
      <c r="B179" s="5"/>
      <c r="C179" s="4"/>
      <c r="D179" s="4" t="s">
        <v>76</v>
      </c>
      <c r="E179" s="42" t="s">
        <v>143</v>
      </c>
      <c r="F179" s="42" t="s">
        <v>143</v>
      </c>
      <c r="G179" s="14" t="s">
        <v>55</v>
      </c>
      <c r="H179" s="42" t="s">
        <v>143</v>
      </c>
      <c r="I179" s="42" t="s">
        <v>143</v>
      </c>
      <c r="J179" s="13"/>
      <c r="L179" s="2"/>
    </row>
    <row r="180" spans="1:12" ht="47.25" x14ac:dyDescent="0.25">
      <c r="A180" s="9" t="s">
        <v>26</v>
      </c>
      <c r="B180" s="5"/>
      <c r="C180" s="4"/>
      <c r="D180" s="15" t="s">
        <v>28</v>
      </c>
      <c r="E180" s="42" t="s">
        <v>143</v>
      </c>
      <c r="F180" s="42" t="s">
        <v>143</v>
      </c>
      <c r="G180" s="14" t="s">
        <v>55</v>
      </c>
      <c r="H180" s="42" t="s">
        <v>143</v>
      </c>
      <c r="I180" s="42" t="s">
        <v>143</v>
      </c>
      <c r="J180" s="13"/>
      <c r="L180" s="2"/>
    </row>
    <row r="181" spans="1:12" ht="31.5" x14ac:dyDescent="0.25">
      <c r="A181" s="9" t="s">
        <v>27</v>
      </c>
      <c r="B181" s="5"/>
      <c r="C181" s="4"/>
      <c r="D181" s="15" t="s">
        <v>75</v>
      </c>
      <c r="E181" s="42" t="s">
        <v>143</v>
      </c>
      <c r="F181" s="42" t="s">
        <v>143</v>
      </c>
      <c r="G181" s="14" t="s">
        <v>55</v>
      </c>
      <c r="H181" s="42" t="s">
        <v>143</v>
      </c>
      <c r="I181" s="42" t="s">
        <v>143</v>
      </c>
      <c r="J181" s="13"/>
      <c r="L181" s="2"/>
    </row>
    <row r="182" spans="1:12" ht="18.75" x14ac:dyDescent="0.25">
      <c r="A182" s="47"/>
      <c r="B182" s="22"/>
      <c r="C182" s="22"/>
      <c r="D182" s="30"/>
      <c r="E182" s="46"/>
      <c r="F182" s="46"/>
      <c r="G182" s="12"/>
      <c r="H182" s="52"/>
      <c r="I182" s="54">
        <f>SUM(I178:I181)</f>
        <v>14040</v>
      </c>
      <c r="J182" s="53"/>
      <c r="L182" s="2"/>
    </row>
    <row r="183" spans="1:12" ht="18.75" x14ac:dyDescent="0.3">
      <c r="A183" s="74" t="s">
        <v>85</v>
      </c>
      <c r="B183" s="75"/>
      <c r="C183" s="75"/>
      <c r="D183" s="75"/>
      <c r="E183" s="75"/>
      <c r="F183" s="75"/>
      <c r="G183" s="76"/>
      <c r="H183" s="2"/>
      <c r="I183" s="2"/>
      <c r="J183" s="2"/>
      <c r="K183" s="2"/>
      <c r="L183" s="2"/>
    </row>
    <row r="184" spans="1:12" ht="48" x14ac:dyDescent="0.3">
      <c r="A184" s="6" t="s">
        <v>67</v>
      </c>
      <c r="B184" s="6"/>
      <c r="C184" s="4"/>
      <c r="D184" s="15" t="s">
        <v>86</v>
      </c>
      <c r="E184" s="42" t="s">
        <v>143</v>
      </c>
      <c r="F184" s="42" t="s">
        <v>143</v>
      </c>
      <c r="G184" s="13" t="s">
        <v>30</v>
      </c>
      <c r="H184" s="42" t="s">
        <v>143</v>
      </c>
      <c r="I184" s="42" t="s">
        <v>143</v>
      </c>
      <c r="J184" s="5"/>
      <c r="L184" s="2"/>
    </row>
    <row r="185" spans="1:12" ht="18.75" x14ac:dyDescent="0.3">
      <c r="A185" s="28"/>
      <c r="B185" s="29"/>
      <c r="C185" s="22"/>
      <c r="D185" s="41" t="s">
        <v>222</v>
      </c>
      <c r="E185" s="42"/>
      <c r="F185" s="42">
        <f>1+1</f>
        <v>2</v>
      </c>
      <c r="G185" s="13" t="s">
        <v>31</v>
      </c>
      <c r="H185" s="42">
        <f>(1650+1900)/F185</f>
        <v>1775</v>
      </c>
      <c r="I185" s="61">
        <f>F185*H185</f>
        <v>3550</v>
      </c>
      <c r="J185" s="5" t="s">
        <v>119</v>
      </c>
      <c r="L185" s="2"/>
    </row>
    <row r="186" spans="1:12" ht="32.25" x14ac:dyDescent="0.3">
      <c r="A186" s="28"/>
      <c r="B186" s="29"/>
      <c r="C186" s="22"/>
      <c r="D186" s="41" t="s">
        <v>110</v>
      </c>
      <c r="E186" s="42">
        <v>1</v>
      </c>
      <c r="F186" s="42">
        <v>1</v>
      </c>
      <c r="G186" s="13" t="s">
        <v>111</v>
      </c>
      <c r="H186" s="42">
        <v>37010</v>
      </c>
      <c r="I186" s="45">
        <f>F186*H186</f>
        <v>37010</v>
      </c>
      <c r="J186" s="39" t="s">
        <v>119</v>
      </c>
      <c r="L186" s="2"/>
    </row>
    <row r="187" spans="1:12" ht="18.75" x14ac:dyDescent="0.3">
      <c r="A187" s="28"/>
      <c r="B187" s="29"/>
      <c r="C187" s="22"/>
      <c r="D187" s="30"/>
      <c r="E187" s="46"/>
      <c r="F187" s="46"/>
      <c r="G187" s="31"/>
      <c r="H187" s="46"/>
      <c r="I187" s="55">
        <f>SUM(I186)</f>
        <v>37010</v>
      </c>
      <c r="J187" s="56"/>
      <c r="L187" s="2"/>
    </row>
    <row r="188" spans="1:12" ht="18.75" x14ac:dyDescent="0.3">
      <c r="A188" s="74" t="s">
        <v>99</v>
      </c>
      <c r="B188" s="75"/>
      <c r="C188" s="75"/>
      <c r="D188" s="75"/>
      <c r="E188" s="75"/>
      <c r="F188" s="75"/>
      <c r="G188" s="76"/>
      <c r="H188" s="74"/>
      <c r="I188" s="75"/>
      <c r="J188" s="75"/>
      <c r="L188" s="2"/>
    </row>
    <row r="189" spans="1:12" ht="32.25" x14ac:dyDescent="0.3">
      <c r="A189" s="34" t="s">
        <v>153</v>
      </c>
      <c r="B189" s="24"/>
      <c r="C189" s="24"/>
      <c r="D189" s="41" t="s">
        <v>137</v>
      </c>
      <c r="E189" s="13"/>
      <c r="F189" s="13">
        <f>1+1</f>
        <v>2</v>
      </c>
      <c r="G189" s="13" t="s">
        <v>138</v>
      </c>
      <c r="H189" s="13">
        <f>(800+800)/F189</f>
        <v>800</v>
      </c>
      <c r="I189" s="63">
        <f t="shared" ref="I189:I192" si="15">F189*H189</f>
        <v>1600</v>
      </c>
      <c r="J189" s="13" t="s">
        <v>126</v>
      </c>
      <c r="K189" s="1">
        <f>800+800</f>
        <v>1600</v>
      </c>
      <c r="L189" s="2"/>
    </row>
    <row r="190" spans="1:12" ht="48" x14ac:dyDescent="0.3">
      <c r="A190" s="24"/>
      <c r="B190" s="24"/>
      <c r="C190" s="24"/>
      <c r="D190" s="41" t="s">
        <v>139</v>
      </c>
      <c r="E190" s="42"/>
      <c r="F190" s="42">
        <f>50+40+60+60</f>
        <v>210</v>
      </c>
      <c r="G190" s="13" t="s">
        <v>140</v>
      </c>
      <c r="H190" s="49">
        <f>(32500+26000+39000+42000)/F190</f>
        <v>664.28571428571433</v>
      </c>
      <c r="I190" s="64">
        <f>F190*H190</f>
        <v>139500</v>
      </c>
      <c r="J190" s="13" t="s">
        <v>126</v>
      </c>
      <c r="K190" s="1">
        <f>32500+26000+39000</f>
        <v>97500</v>
      </c>
      <c r="L190" s="2"/>
    </row>
    <row r="191" spans="1:12" ht="32.25" x14ac:dyDescent="0.3">
      <c r="A191" s="24"/>
      <c r="B191" s="24"/>
      <c r="C191" s="24"/>
      <c r="D191" s="41" t="s">
        <v>196</v>
      </c>
      <c r="E191" s="13"/>
      <c r="F191" s="13">
        <f>600+280+330+90+60+655</f>
        <v>2015</v>
      </c>
      <c r="G191" s="13" t="s">
        <v>141</v>
      </c>
      <c r="H191" s="33">
        <f>(30000+14000+16500+4125+2063+30019)/F191</f>
        <v>47.993548387096773</v>
      </c>
      <c r="I191" s="63">
        <f t="shared" si="15"/>
        <v>96707</v>
      </c>
      <c r="J191" s="13" t="s">
        <v>126</v>
      </c>
      <c r="K191" s="1">
        <f>30000+14000+16500</f>
        <v>60500</v>
      </c>
      <c r="L191" s="2"/>
    </row>
    <row r="192" spans="1:12" ht="32.25" x14ac:dyDescent="0.3">
      <c r="A192" s="24"/>
      <c r="B192" s="24"/>
      <c r="C192" s="24"/>
      <c r="D192" s="41" t="s">
        <v>197</v>
      </c>
      <c r="E192" s="13"/>
      <c r="F192" s="13">
        <f>8+20+20</f>
        <v>48</v>
      </c>
      <c r="G192" s="13" t="s">
        <v>141</v>
      </c>
      <c r="H192" s="33">
        <f>(333+833+917)/F192</f>
        <v>43.395833333333336</v>
      </c>
      <c r="I192" s="63">
        <f t="shared" si="15"/>
        <v>2083</v>
      </c>
      <c r="J192" s="13" t="s">
        <v>126</v>
      </c>
      <c r="K192" s="1">
        <f>333+833</f>
        <v>1166</v>
      </c>
      <c r="L192" s="2"/>
    </row>
    <row r="193" spans="1:12" ht="18.75" x14ac:dyDescent="0.3">
      <c r="A193" s="24"/>
      <c r="B193" s="24"/>
      <c r="C193" s="24"/>
      <c r="D193" s="41" t="s">
        <v>204</v>
      </c>
      <c r="E193" s="13"/>
      <c r="F193" s="13">
        <f>1</f>
        <v>1</v>
      </c>
      <c r="G193" s="13" t="s">
        <v>114</v>
      </c>
      <c r="H193" s="13">
        <f>9712.4/F193</f>
        <v>9712.4</v>
      </c>
      <c r="I193" s="65">
        <f>F193*H193</f>
        <v>9712.4</v>
      </c>
      <c r="J193" s="13" t="s">
        <v>124</v>
      </c>
      <c r="K193" s="1">
        <v>9712.4</v>
      </c>
      <c r="L193" s="2"/>
    </row>
    <row r="194" spans="1:12" ht="18.75" x14ac:dyDescent="0.3">
      <c r="A194" s="24"/>
      <c r="B194" s="24"/>
      <c r="C194" s="24"/>
      <c r="D194" s="41" t="s">
        <v>229</v>
      </c>
      <c r="E194" s="13"/>
      <c r="F194" s="13">
        <v>7.1050000000000004</v>
      </c>
      <c r="G194" s="13" t="s">
        <v>230</v>
      </c>
      <c r="H194" s="33">
        <f>18642.6/F194</f>
        <v>2623.8705137227303</v>
      </c>
      <c r="I194" s="65">
        <f>F194*H194</f>
        <v>18642.599999999999</v>
      </c>
      <c r="J194" s="13" t="s">
        <v>119</v>
      </c>
      <c r="L194" s="2"/>
    </row>
    <row r="195" spans="1:12" ht="18.75" x14ac:dyDescent="0.3">
      <c r="A195" s="34" t="s">
        <v>171</v>
      </c>
      <c r="B195" s="24"/>
      <c r="C195" s="24"/>
      <c r="D195" s="41" t="s">
        <v>220</v>
      </c>
      <c r="E195" s="13"/>
      <c r="F195" s="13">
        <v>1</v>
      </c>
      <c r="G195" s="13" t="s">
        <v>31</v>
      </c>
      <c r="H195" s="13">
        <f>6200/F195</f>
        <v>6200</v>
      </c>
      <c r="I195" s="65">
        <f>F195*H195</f>
        <v>6200</v>
      </c>
      <c r="J195" s="13" t="s">
        <v>119</v>
      </c>
      <c r="L195" s="2"/>
    </row>
    <row r="196" spans="1:12" ht="63.75" x14ac:dyDescent="0.3">
      <c r="A196" s="34"/>
      <c r="B196" s="24"/>
      <c r="C196" s="24"/>
      <c r="D196" s="41" t="s">
        <v>249</v>
      </c>
      <c r="E196" s="13"/>
      <c r="F196" s="13">
        <v>1</v>
      </c>
      <c r="G196" s="13" t="s">
        <v>148</v>
      </c>
      <c r="H196" s="13">
        <f>16911/F196</f>
        <v>16911</v>
      </c>
      <c r="I196" s="65">
        <f t="shared" ref="I196:I197" si="16">F196*H196</f>
        <v>16911</v>
      </c>
      <c r="J196" s="13"/>
      <c r="L196" s="2"/>
    </row>
    <row r="197" spans="1:12" ht="69" customHeight="1" x14ac:dyDescent="0.3">
      <c r="A197" s="34"/>
      <c r="B197" s="24"/>
      <c r="C197" s="24"/>
      <c r="D197" s="41" t="s">
        <v>252</v>
      </c>
      <c r="E197" s="13"/>
      <c r="F197" s="13">
        <f>1</f>
        <v>1</v>
      </c>
      <c r="G197" s="13" t="s">
        <v>148</v>
      </c>
      <c r="H197" s="13">
        <f>51037/1</f>
        <v>51037</v>
      </c>
      <c r="I197" s="65">
        <f t="shared" si="16"/>
        <v>51037</v>
      </c>
      <c r="J197" s="13"/>
      <c r="L197" s="2"/>
    </row>
    <row r="198" spans="1:12" ht="18.75" x14ac:dyDescent="0.3">
      <c r="A198" s="34"/>
      <c r="B198" s="14"/>
      <c r="C198" s="14"/>
      <c r="D198" s="40" t="s">
        <v>172</v>
      </c>
      <c r="E198" s="14"/>
      <c r="F198" s="14">
        <f>1+1+1+1+1+1+1+1+1+1+1+1</f>
        <v>12</v>
      </c>
      <c r="G198" s="14" t="s">
        <v>173</v>
      </c>
      <c r="H198" s="14">
        <f>(8478+8478+8478+8478+8478+8478+8478+8478+8478+8478+8478+8478)/F198</f>
        <v>8478</v>
      </c>
      <c r="I198" s="66">
        <f>F198*H198</f>
        <v>101736</v>
      </c>
      <c r="J198" s="14" t="s">
        <v>122</v>
      </c>
      <c r="K198" s="1">
        <f>8478+8478+8478+8478+8478</f>
        <v>42390</v>
      </c>
      <c r="L198" s="2"/>
    </row>
    <row r="199" spans="1:12" ht="18.75" x14ac:dyDescent="0.3">
      <c r="A199" s="34"/>
      <c r="B199" s="14"/>
      <c r="C199" s="14"/>
      <c r="D199" s="40"/>
      <c r="E199" s="14"/>
      <c r="F199" s="14"/>
      <c r="G199" s="14"/>
      <c r="H199" s="14"/>
      <c r="I199" s="84">
        <f>SUM(I189:I198)</f>
        <v>444129</v>
      </c>
      <c r="J199" s="14"/>
      <c r="L199" s="2"/>
    </row>
    <row r="200" spans="1:12" ht="18.75" x14ac:dyDescent="0.3">
      <c r="A200" s="68" t="s">
        <v>258</v>
      </c>
      <c r="B200" s="14"/>
      <c r="C200" s="14"/>
      <c r="D200" s="44"/>
      <c r="E200" s="14"/>
      <c r="F200" s="14"/>
      <c r="G200" s="38"/>
      <c r="H200" s="14"/>
      <c r="I200" s="69">
        <f>I27+I37+I39+I40+I41+I42+I43+I45+I46+I47+I49+I50+I51+I52+I53+I54+I56+I57+I59+I60+I63+I64+I65+I67+I68+I69+I72+I73+I74+I81+I82+I83+I87+I88+I89+I90+I91+I92+I96+I97+I99+I100+I110+I111+I112+I113+I114+I117+I118+I119+I120+I121+I122+I123+I125+I126+I127+I128+I129+I131+I135+I138+I139+I144+I147+I152+I153+I164+I165+I185+I189+I190+I191+I192+I193+I194+I195+I196+I197+I198</f>
        <v>4078019.4</v>
      </c>
      <c r="J200" s="14"/>
      <c r="K200" s="1">
        <f>SUM(K5:K198)</f>
        <v>796611.20000000007</v>
      </c>
      <c r="L200" s="2"/>
    </row>
    <row r="201" spans="1:12" ht="15.75" x14ac:dyDescent="0.25">
      <c r="A201" s="57" t="s">
        <v>194</v>
      </c>
      <c r="B201" s="25"/>
      <c r="C201" s="25"/>
      <c r="D201" s="44"/>
      <c r="E201" s="13"/>
      <c r="F201" s="13"/>
      <c r="G201" s="38"/>
      <c r="H201" s="13"/>
      <c r="I201" s="70">
        <f>I34+I70+I105+I132+I149+I158+I172+I176+I182+I187+I199</f>
        <v>4690151.3999999994</v>
      </c>
      <c r="J201" s="14"/>
      <c r="K201" s="2"/>
      <c r="L201" s="2"/>
    </row>
    <row r="202" spans="1:12" ht="99.75" customHeight="1" x14ac:dyDescent="0.25">
      <c r="A202" s="71" t="s">
        <v>106</v>
      </c>
      <c r="B202" s="71"/>
      <c r="C202" s="71"/>
      <c r="D202" s="71"/>
      <c r="E202" s="71"/>
      <c r="F202" s="71"/>
      <c r="G202" s="71"/>
      <c r="H202" s="71"/>
      <c r="I202" s="71"/>
      <c r="J202" s="71"/>
      <c r="K202" s="2"/>
      <c r="L202" s="2"/>
    </row>
    <row r="203" spans="1:12" ht="15.75" x14ac:dyDescent="0.25">
      <c r="A203" s="2"/>
      <c r="B203" s="2"/>
      <c r="C203" s="2"/>
      <c r="D203" s="16"/>
      <c r="E203" s="16"/>
      <c r="F203" s="2"/>
      <c r="G203" s="2"/>
      <c r="H203" s="2"/>
      <c r="I203" s="2" t="s">
        <v>259</v>
      </c>
      <c r="J203" s="2"/>
      <c r="K203" s="2"/>
      <c r="L203" s="2"/>
    </row>
    <row r="204" spans="1:12" ht="15.75" x14ac:dyDescent="0.25">
      <c r="A204" s="2"/>
      <c r="B204" s="2"/>
      <c r="C204" s="2"/>
      <c r="D204" s="16"/>
      <c r="E204" s="16"/>
      <c r="F204" s="2"/>
      <c r="G204" s="2"/>
      <c r="H204" s="2"/>
      <c r="I204" s="2"/>
      <c r="J204" s="2"/>
      <c r="K204" s="2"/>
      <c r="L204" s="2"/>
    </row>
    <row r="205" spans="1:12" ht="15.75" x14ac:dyDescent="0.25">
      <c r="A205" s="2"/>
      <c r="B205" s="2"/>
      <c r="C205" s="2"/>
      <c r="D205" s="16"/>
      <c r="E205" s="16"/>
      <c r="F205" s="2"/>
      <c r="G205" s="2"/>
      <c r="H205" s="2"/>
      <c r="I205" s="2"/>
      <c r="J205" s="2"/>
      <c r="K205" s="2"/>
      <c r="L205" s="2"/>
    </row>
    <row r="206" spans="1:12" ht="15.75" x14ac:dyDescent="0.25">
      <c r="A206" s="2"/>
      <c r="B206" s="2"/>
      <c r="C206" s="2"/>
      <c r="D206" s="16"/>
      <c r="E206" s="16"/>
      <c r="F206" s="2"/>
      <c r="G206" s="2"/>
      <c r="H206" s="67"/>
      <c r="I206" s="2"/>
      <c r="J206" s="2"/>
      <c r="K206" s="2"/>
      <c r="L206" s="2"/>
    </row>
    <row r="207" spans="1:12" ht="15.75" x14ac:dyDescent="0.25">
      <c r="A207" s="2"/>
      <c r="B207" s="2"/>
      <c r="C207" s="2"/>
      <c r="D207" s="16"/>
      <c r="E207" s="60"/>
      <c r="F207" s="2"/>
      <c r="G207" s="2"/>
      <c r="H207" s="2"/>
      <c r="I207" s="2"/>
      <c r="J207" s="2"/>
      <c r="K207" s="2"/>
      <c r="L207" s="2"/>
    </row>
    <row r="208" spans="1:12" ht="15.75" x14ac:dyDescent="0.25">
      <c r="A208" s="2"/>
      <c r="B208" s="2"/>
      <c r="C208" s="2"/>
      <c r="D208" s="16"/>
      <c r="E208" s="60"/>
      <c r="F208" s="2"/>
      <c r="G208" s="2"/>
      <c r="H208" s="2"/>
      <c r="I208" s="2"/>
      <c r="J208" s="2"/>
      <c r="K208" s="2"/>
      <c r="L208" s="2"/>
    </row>
    <row r="209" spans="1:12" ht="15.75" x14ac:dyDescent="0.25">
      <c r="A209" s="2"/>
      <c r="B209" s="2"/>
      <c r="C209" s="2"/>
      <c r="D209" s="16"/>
      <c r="E209" s="16"/>
      <c r="F209" s="2"/>
      <c r="G209" s="2"/>
      <c r="H209" s="2"/>
      <c r="I209" s="2"/>
      <c r="J209" s="2"/>
      <c r="K209" s="2"/>
      <c r="L209" s="2"/>
    </row>
    <row r="210" spans="1:12" ht="15.75" x14ac:dyDescent="0.25">
      <c r="A210" s="2"/>
      <c r="B210" s="2"/>
      <c r="C210" s="2"/>
      <c r="D210" s="16"/>
      <c r="E210" s="16"/>
      <c r="F210" s="2"/>
      <c r="G210" s="2"/>
      <c r="H210" s="2"/>
      <c r="I210" s="2"/>
      <c r="J210" s="2"/>
      <c r="K210" s="2"/>
      <c r="L210" s="2"/>
    </row>
    <row r="211" spans="1:12" ht="15.75" x14ac:dyDescent="0.25">
      <c r="A211" s="2"/>
      <c r="B211" s="2"/>
      <c r="C211" s="2"/>
      <c r="D211" s="16"/>
      <c r="E211" s="59"/>
      <c r="F211" s="2"/>
      <c r="G211" s="2"/>
      <c r="H211" s="2"/>
      <c r="I211" s="2"/>
      <c r="J211" s="2"/>
      <c r="K211" s="2"/>
      <c r="L211" s="2"/>
    </row>
    <row r="212" spans="1:12" ht="15.75" x14ac:dyDescent="0.25">
      <c r="A212" s="2"/>
      <c r="B212" s="2"/>
      <c r="C212" s="2"/>
      <c r="D212" s="16"/>
      <c r="E212" s="16"/>
      <c r="F212" s="2"/>
      <c r="G212" s="2"/>
      <c r="H212" s="2"/>
      <c r="I212" s="2"/>
      <c r="J212" s="2"/>
      <c r="K212" s="2"/>
      <c r="L212" s="2"/>
    </row>
    <row r="213" spans="1:12" ht="15.75" x14ac:dyDescent="0.25">
      <c r="A213" s="2"/>
      <c r="B213" s="2"/>
      <c r="C213" s="2"/>
      <c r="D213" s="16"/>
      <c r="E213" s="16"/>
      <c r="F213" s="2"/>
      <c r="G213" s="2"/>
      <c r="H213" s="2"/>
      <c r="I213" s="2"/>
      <c r="J213" s="2"/>
      <c r="K213" s="2"/>
      <c r="L213" s="2"/>
    </row>
    <row r="214" spans="1:12" ht="15.75" x14ac:dyDescent="0.25">
      <c r="A214" s="2"/>
      <c r="B214" s="2"/>
      <c r="C214" s="2"/>
      <c r="D214" s="16"/>
      <c r="E214" s="16"/>
      <c r="F214" s="2"/>
      <c r="G214" s="2"/>
      <c r="H214" s="2"/>
      <c r="I214" s="2"/>
      <c r="J214" s="2"/>
      <c r="K214" s="2"/>
      <c r="L214" s="2"/>
    </row>
    <row r="215" spans="1:12" ht="15.75" x14ac:dyDescent="0.25">
      <c r="A215" s="2"/>
      <c r="B215" s="2"/>
      <c r="C215" s="2"/>
      <c r="D215" s="16"/>
      <c r="E215" s="16"/>
      <c r="F215" s="2"/>
      <c r="G215" s="2"/>
      <c r="H215" s="2"/>
      <c r="I215" s="2"/>
      <c r="J215" s="2"/>
      <c r="K215" s="2"/>
      <c r="L215" s="2"/>
    </row>
    <row r="216" spans="1:12" ht="15.75" x14ac:dyDescent="0.25">
      <c r="A216" s="2"/>
      <c r="B216" s="2"/>
      <c r="C216" s="2"/>
      <c r="D216" s="16"/>
      <c r="E216" s="16"/>
      <c r="F216" s="2"/>
      <c r="G216" s="2"/>
      <c r="H216" s="2"/>
      <c r="I216" s="2"/>
      <c r="J216" s="2"/>
      <c r="K216" s="2"/>
      <c r="L216" s="2"/>
    </row>
    <row r="217" spans="1:12" ht="15.75" x14ac:dyDescent="0.25">
      <c r="A217" s="2"/>
      <c r="B217" s="2"/>
      <c r="C217" s="2"/>
      <c r="D217" s="16"/>
      <c r="E217" s="16"/>
      <c r="F217" s="2"/>
      <c r="G217" s="2"/>
      <c r="H217" s="2"/>
      <c r="I217" s="2"/>
      <c r="J217" s="2"/>
      <c r="K217" s="2"/>
      <c r="L217" s="2"/>
    </row>
    <row r="218" spans="1:12" ht="15.75" x14ac:dyDescent="0.25">
      <c r="A218" s="2"/>
      <c r="B218" s="2"/>
      <c r="C218" s="2"/>
      <c r="D218" s="16"/>
      <c r="E218" s="16"/>
      <c r="F218" s="2"/>
      <c r="G218" s="2"/>
      <c r="H218" s="2"/>
      <c r="I218" s="2"/>
      <c r="J218" s="2"/>
      <c r="K218" s="2"/>
      <c r="L218" s="2"/>
    </row>
    <row r="219" spans="1:12" ht="15.75" x14ac:dyDescent="0.25">
      <c r="A219" s="2"/>
      <c r="B219" s="2"/>
      <c r="C219" s="2"/>
      <c r="D219" s="16"/>
      <c r="E219" s="16"/>
      <c r="F219" s="2"/>
      <c r="G219" s="2"/>
      <c r="H219" s="2"/>
      <c r="I219" s="2"/>
      <c r="J219" s="2"/>
      <c r="K219" s="2"/>
      <c r="L219" s="2"/>
    </row>
    <row r="220" spans="1:12" ht="15.75" x14ac:dyDescent="0.25">
      <c r="A220" s="2"/>
      <c r="B220" s="2"/>
      <c r="C220" s="2"/>
      <c r="D220" s="16"/>
      <c r="E220" s="16"/>
      <c r="F220" s="2"/>
      <c r="G220" s="2"/>
      <c r="H220" s="2"/>
      <c r="I220" s="2"/>
      <c r="J220" s="2"/>
      <c r="K220" s="2"/>
      <c r="L220" s="2"/>
    </row>
    <row r="221" spans="1:12" ht="15.75" x14ac:dyDescent="0.25">
      <c r="A221" s="2"/>
      <c r="B221" s="2"/>
      <c r="C221" s="2"/>
      <c r="D221" s="16"/>
      <c r="E221" s="16"/>
      <c r="F221" s="2"/>
      <c r="G221" s="2"/>
      <c r="H221" s="2"/>
      <c r="I221" s="2"/>
      <c r="J221" s="2"/>
      <c r="K221" s="2"/>
      <c r="L221" s="2"/>
    </row>
    <row r="222" spans="1:12" ht="15.75" x14ac:dyDescent="0.25">
      <c r="A222" s="2"/>
      <c r="B222" s="2"/>
      <c r="C222" s="2"/>
      <c r="D222" s="16"/>
      <c r="E222" s="16"/>
      <c r="F222" s="2"/>
      <c r="G222" s="2"/>
      <c r="H222" s="2"/>
      <c r="I222" s="2"/>
      <c r="J222" s="2"/>
      <c r="K222" s="2"/>
      <c r="L222" s="2"/>
    </row>
    <row r="223" spans="1:12" ht="15.75" x14ac:dyDescent="0.25">
      <c r="A223" s="2"/>
      <c r="B223" s="2"/>
      <c r="C223" s="2"/>
      <c r="D223" s="16"/>
      <c r="E223" s="16"/>
      <c r="F223" s="2"/>
      <c r="G223" s="2"/>
      <c r="H223" s="2"/>
      <c r="I223" s="2"/>
      <c r="J223" s="2"/>
      <c r="K223" s="2"/>
      <c r="L223" s="2"/>
    </row>
    <row r="224" spans="1:12" ht="15.75" x14ac:dyDescent="0.25">
      <c r="A224" s="2"/>
      <c r="B224" s="2"/>
      <c r="C224" s="2"/>
      <c r="D224" s="16"/>
      <c r="E224" s="16"/>
      <c r="F224" s="2"/>
      <c r="G224" s="2"/>
      <c r="H224" s="2"/>
      <c r="I224" s="2"/>
      <c r="J224" s="2"/>
      <c r="K224" s="2"/>
      <c r="L224" s="2"/>
    </row>
    <row r="225" spans="1:12" ht="15.75" x14ac:dyDescent="0.25">
      <c r="A225" s="2"/>
      <c r="B225" s="2"/>
      <c r="C225" s="2"/>
      <c r="D225" s="16"/>
      <c r="E225" s="16"/>
      <c r="F225" s="2"/>
      <c r="G225" s="2"/>
      <c r="H225" s="2"/>
      <c r="I225" s="2"/>
      <c r="J225" s="2"/>
      <c r="K225" s="2"/>
      <c r="L225" s="2"/>
    </row>
    <row r="226" spans="1:12" ht="15.75" x14ac:dyDescent="0.25">
      <c r="A226" s="2"/>
      <c r="B226" s="2"/>
      <c r="C226" s="2"/>
      <c r="D226" s="16"/>
      <c r="E226" s="16"/>
      <c r="F226" s="2"/>
      <c r="G226" s="2"/>
      <c r="H226" s="2"/>
      <c r="I226" s="2"/>
      <c r="J226" s="2"/>
      <c r="K226" s="2"/>
      <c r="L226" s="2"/>
    </row>
    <row r="227" spans="1:12" ht="15.75" x14ac:dyDescent="0.25">
      <c r="A227" s="2"/>
      <c r="B227" s="2"/>
      <c r="C227" s="2"/>
      <c r="D227" s="16"/>
      <c r="E227" s="16"/>
      <c r="F227" s="2"/>
      <c r="G227" s="2"/>
      <c r="H227" s="2"/>
      <c r="I227" s="2"/>
      <c r="J227" s="2"/>
      <c r="K227" s="2"/>
      <c r="L227" s="2"/>
    </row>
    <row r="228" spans="1:12" ht="15.75" x14ac:dyDescent="0.25">
      <c r="A228" s="2"/>
      <c r="B228" s="2"/>
      <c r="C228" s="2"/>
      <c r="D228" s="16"/>
      <c r="E228" s="16"/>
      <c r="F228" s="2"/>
      <c r="G228" s="2"/>
      <c r="H228" s="2"/>
      <c r="I228" s="2"/>
      <c r="J228" s="2"/>
      <c r="K228" s="2"/>
      <c r="L228" s="2"/>
    </row>
  </sheetData>
  <mergeCells count="16">
    <mergeCell ref="A202:J202"/>
    <mergeCell ref="A2:J2"/>
    <mergeCell ref="A188:G188"/>
    <mergeCell ref="H188:J188"/>
    <mergeCell ref="I1:J1"/>
    <mergeCell ref="A133:G133"/>
    <mergeCell ref="A159:G159"/>
    <mergeCell ref="A183:G183"/>
    <mergeCell ref="A35:G35"/>
    <mergeCell ref="A16:G16"/>
    <mergeCell ref="A4:G4"/>
    <mergeCell ref="A173:G173"/>
    <mergeCell ref="A71:G71"/>
    <mergeCell ref="A106:G106"/>
    <mergeCell ref="A150:G150"/>
    <mergeCell ref="A177:G177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2024-03-06T13:55:56Z</dcterms:modified>
</cp:coreProperties>
</file>