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97" i="1" l="1"/>
  <c r="I168" i="1"/>
  <c r="I152" i="1"/>
  <c r="I125" i="1"/>
  <c r="I110" i="1"/>
  <c r="I76" i="1"/>
  <c r="I195" i="1"/>
  <c r="F41" i="1" l="1"/>
  <c r="H41" i="1" s="1"/>
  <c r="I41" i="1" s="1"/>
  <c r="H54" i="1"/>
  <c r="F54" i="1"/>
  <c r="H47" i="1"/>
  <c r="F47" i="1"/>
  <c r="F42" i="1"/>
  <c r="H42" i="1" s="1"/>
  <c r="H44" i="1"/>
  <c r="F43" i="1"/>
  <c r="H43" i="1" s="1"/>
  <c r="F49" i="1"/>
  <c r="H49" i="1" s="1"/>
  <c r="F189" i="1"/>
  <c r="H189" i="1" s="1"/>
  <c r="F188" i="1"/>
  <c r="H188" i="1" s="1"/>
  <c r="F181" i="1"/>
  <c r="H181" i="1" s="1"/>
  <c r="F97" i="1"/>
  <c r="H97" i="1" s="1"/>
  <c r="F96" i="1"/>
  <c r="H96" i="1" s="1"/>
  <c r="F95" i="1"/>
  <c r="H95" i="1" s="1"/>
  <c r="F94" i="1"/>
  <c r="H94" i="1" s="1"/>
  <c r="F93" i="1"/>
  <c r="H93" i="1" s="1"/>
  <c r="F167" i="1"/>
  <c r="H167" i="1" s="1"/>
  <c r="F166" i="1"/>
  <c r="F162" i="1"/>
  <c r="H162" i="1" s="1"/>
  <c r="F112" i="1"/>
  <c r="F127" i="1"/>
  <c r="F144" i="1"/>
  <c r="H144" i="1" s="1"/>
  <c r="H79" i="1"/>
  <c r="F73" i="1"/>
  <c r="H71" i="1"/>
  <c r="F7" i="1"/>
  <c r="H7" i="1" s="1"/>
  <c r="F158" i="1"/>
  <c r="H158" i="1" s="1"/>
  <c r="H92" i="1"/>
  <c r="F92" i="1"/>
  <c r="H102" i="1"/>
  <c r="F102" i="1"/>
  <c r="H170" i="1"/>
  <c r="F170" i="1"/>
  <c r="H82" i="1"/>
  <c r="F82" i="1"/>
  <c r="I54" i="1" l="1"/>
  <c r="I42" i="1"/>
  <c r="I92" i="1"/>
  <c r="H73" i="1"/>
  <c r="I73" i="1" s="1"/>
  <c r="I44" i="1"/>
  <c r="H127" i="1"/>
  <c r="I127" i="1" s="1"/>
  <c r="H112" i="1"/>
  <c r="I112" i="1" s="1"/>
  <c r="I43" i="1"/>
  <c r="F39" i="1" l="1"/>
  <c r="H39" i="1" s="1"/>
  <c r="F53" i="1"/>
  <c r="H52" i="1"/>
  <c r="I52" i="1" s="1"/>
  <c r="H59" i="1"/>
  <c r="H58" i="1"/>
  <c r="I59" i="1"/>
  <c r="I53" i="1" l="1"/>
  <c r="H53" i="1"/>
  <c r="I58" i="1"/>
  <c r="H57" i="1" l="1"/>
  <c r="F57" i="1"/>
  <c r="I56" i="1"/>
  <c r="H56" i="1"/>
  <c r="H40" i="1"/>
  <c r="F40" i="1"/>
  <c r="F45" i="1"/>
  <c r="H45" i="1" s="1"/>
  <c r="F51" i="1"/>
  <c r="F99" i="1"/>
  <c r="H99" i="1" s="1"/>
  <c r="I47" i="1"/>
  <c r="H34" i="1"/>
  <c r="I51" i="1" l="1"/>
  <c r="H51" i="1"/>
  <c r="I57" i="1"/>
  <c r="I99" i="1"/>
  <c r="I45" i="1"/>
  <c r="I40" i="1"/>
  <c r="I34" i="1"/>
  <c r="I96" i="1" l="1"/>
  <c r="I94" i="1"/>
  <c r="I93" i="1"/>
  <c r="I97" i="1" l="1"/>
  <c r="I95" i="1"/>
  <c r="H182" i="1"/>
  <c r="F103" i="1"/>
  <c r="H103" i="1" s="1"/>
  <c r="H90" i="1"/>
  <c r="I90" i="1" s="1"/>
  <c r="I103" i="1" l="1"/>
  <c r="I102" i="1"/>
  <c r="I182" i="1"/>
  <c r="I181" i="1"/>
  <c r="H192" i="1"/>
  <c r="F192" i="1"/>
  <c r="I194" i="1"/>
  <c r="F194" i="1"/>
  <c r="F119" i="1"/>
  <c r="H119" i="1" s="1"/>
  <c r="F122" i="1"/>
  <c r="F164" i="1"/>
  <c r="F163" i="1"/>
  <c r="H163" i="1" s="1"/>
  <c r="F148" i="1"/>
  <c r="H148" i="1" s="1"/>
  <c r="F146" i="1"/>
  <c r="H146" i="1" s="1"/>
  <c r="I163" i="1" l="1"/>
  <c r="H164" i="1"/>
  <c r="H165" i="1"/>
  <c r="I165" i="1" s="1"/>
  <c r="H122" i="1"/>
  <c r="I122" i="1" s="1"/>
  <c r="I192" i="1"/>
  <c r="I164" i="1"/>
  <c r="I119" i="1"/>
  <c r="F193" i="1"/>
  <c r="H191" i="1"/>
  <c r="F190" i="1"/>
  <c r="H190" i="1" l="1"/>
  <c r="I190" i="1" s="1"/>
  <c r="H193" i="1"/>
  <c r="I193" i="1" s="1"/>
  <c r="I191" i="1"/>
  <c r="F187" i="1"/>
  <c r="F69" i="1"/>
  <c r="H69" i="1" s="1"/>
  <c r="I146" i="1"/>
  <c r="I187" i="1"/>
  <c r="F186" i="1"/>
  <c r="I186" i="1" s="1"/>
  <c r="H50" i="1"/>
  <c r="F48" i="1"/>
  <c r="H48" i="1" s="1"/>
  <c r="H46" i="1"/>
  <c r="I46" i="1" s="1"/>
  <c r="F38" i="1"/>
  <c r="F120" i="1"/>
  <c r="H120" i="1" s="1"/>
  <c r="H98" i="1"/>
  <c r="I98" i="1" s="1"/>
  <c r="F88" i="1"/>
  <c r="H88" i="1" l="1"/>
  <c r="I88" i="1" s="1"/>
  <c r="I120" i="1"/>
  <c r="H38" i="1"/>
  <c r="I38" i="1" s="1"/>
  <c r="I82" i="1"/>
  <c r="I39" i="1"/>
  <c r="I188" i="1"/>
  <c r="I189" i="1"/>
  <c r="I158" i="1" l="1"/>
  <c r="I50" i="1"/>
  <c r="I7" i="1"/>
  <c r="I71" i="1"/>
  <c r="I123" i="1"/>
  <c r="I144" i="1"/>
  <c r="I142" i="1"/>
  <c r="I15" i="1" l="1"/>
  <c r="I49" i="1"/>
  <c r="I69" i="1" l="1"/>
  <c r="I196" i="1" s="1"/>
  <c r="I48" i="1"/>
  <c r="I166" i="1"/>
  <c r="I36" i="1" l="1"/>
  <c r="I170" i="1"/>
  <c r="I167" i="1" l="1"/>
  <c r="I183" i="1"/>
  <c r="I184" i="1" s="1"/>
  <c r="I148" i="1"/>
  <c r="I79" i="1" l="1"/>
  <c r="I162" i="1" l="1"/>
  <c r="I174" i="1" l="1"/>
  <c r="I178" i="1" s="1"/>
  <c r="I171" i="1"/>
  <c r="I172" i="1" s="1"/>
</calcChain>
</file>

<file path=xl/sharedStrings.xml><?xml version="1.0" encoding="utf-8"?>
<sst xmlns="http://schemas.openxmlformats.org/spreadsheetml/2006/main" count="768" uniqueCount="265">
  <si>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</si>
  <si>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</si>
  <si>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</si>
  <si>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</si>
  <si>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</si>
  <si>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</si>
  <si>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</si>
  <si>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</si>
  <si>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</si>
  <si>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</si>
  <si>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</si>
  <si>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</si>
  <si>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</si>
  <si>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</si>
  <si>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</si>
  <si>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</si>
  <si>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</si>
  <si>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</si>
  <si>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</si>
  <si>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</si>
  <si>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</si>
  <si>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</si>
  <si>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</si>
  <si>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</si>
  <si>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</si>
  <si>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</si>
  <si>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</si>
  <si>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</si>
  <si>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</si>
  <si>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</si>
  <si>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</si>
  <si>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</si>
  <si>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</si>
  <si>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</si>
  <si>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</si>
  <si>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</si>
  <si>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</si>
  <si>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</si>
  <si>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</si>
  <si>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</si>
  <si>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</si>
  <si>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</si>
  <si>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</si>
  <si>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</si>
  <si>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</si>
  <si>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</si>
  <si>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</si>
  <si>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</si>
  <si>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</si>
  <si>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</si>
  <si>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</si>
  <si>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</si>
  <si>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</si>
  <si>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</si>
  <si>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</si>
  <si>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</si>
  <si>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</si>
  <si>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</si>
  <si>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</si>
  <si>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</si>
  <si>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</si>
  <si>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</si>
  <si>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</si>
  <si>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</si>
  <si>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</si>
  <si>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</si>
  <si>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</si>
  <si>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</si>
  <si>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</si>
  <si>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</si>
  <si>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</si>
  <si>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</si>
  <si>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</si>
  <si>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</si>
  <si>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</si>
  <si>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</si>
  <si>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</si>
  <si>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</si>
  <si>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</si>
  <si>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</si>
  <si>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</si>
  <si>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</si>
  <si>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</si>
  <si>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</si>
  <si>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</si>
  <si>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</si>
  <si>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</si>
  <si>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</si>
  <si>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</si>
  <si>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</si>
  <si>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</si>
  <si>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</si>
  <si>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</si>
  <si>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</si>
  <si>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</si>
  <si>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</si>
  <si>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</si>
  <si>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</si>
  <si>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</si>
  <si>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</si>
  <si>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</si>
  <si>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</si>
  <si>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</si>
  <si>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</si>
  <si>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</si>
  <si>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</si>
  <si>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</si>
  <si>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</si>
  <si>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</si>
  <si>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</si>
  <si>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</si>
  <si>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</si>
  <si>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</si>
  <si>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</si>
  <si>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</si>
  <si>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</si>
  <si>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</si>
  <si>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</si>
  <si>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</si>
  <si>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</si>
  <si>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</si>
  <si>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</si>
  <si>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</si>
  <si>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</si>
  <si>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</si>
  <si>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</si>
  <si>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</si>
  <si>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</si>
  <si>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</si>
  <si>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</si>
  <si>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</si>
  <si>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</si>
  <si>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</si>
  <si>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</si>
  <si>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</si>
  <si>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</si>
  <si>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</si>
  <si>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</si>
  <si>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</si>
  <si>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</si>
  <si>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</si>
  <si>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</si>
  <si>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</si>
  <si>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</si>
  <si>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</si>
  <si>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</si>
  <si>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</si>
  <si>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</si>
  <si>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</si>
  <si>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</si>
  <si>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</si>
  <si>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</si>
  <si>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</si>
  <si>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</si>
  <si>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</si>
  <si>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</si>
  <si>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</si>
  <si>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</si>
  <si>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</si>
  <si>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</si>
  <si>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</si>
  <si>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</si>
  <si>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</si>
  <si>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</si>
  <si>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</si>
  <si>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</si>
  <si>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</si>
  <si>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</si>
  <si>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</si>
  <si>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</si>
  <si>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</si>
  <si>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</si>
  <si>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</si>
  <si>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</si>
  <si>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</si>
  <si>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</si>
  <si>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</si>
  <si>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</si>
  <si>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</si>
  <si>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</si>
  <si>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</si>
  <si>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</si>
  <si>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</si>
  <si>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</si>
  <si>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</si>
  <si>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 xml:space="preserve"> смена кранов на шаровые краны диам.15,20мм</t>
  </si>
  <si>
    <t>смена сгонов у трубопроводов диам. 20мм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</si>
  <si>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</si>
  <si>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</si>
  <si>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</si>
  <si>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</si>
  <si>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</si>
  <si>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</si>
  <si>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</si>
  <si>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ремонт мягкого покрытия кровли в 1 слой</t>
  </si>
  <si>
    <t>смена выключателей</t>
  </si>
  <si>
    <t>установка фекальных насосов</t>
  </si>
  <si>
    <t>разборка покрытий полов из керамических плиток</t>
  </si>
  <si>
    <t>устройство покрытий из керамогранитных плиток размером 30х30</t>
  </si>
  <si>
    <t>2квартал</t>
  </si>
  <si>
    <t>заделка подвальных окон железом</t>
  </si>
  <si>
    <t>ремонт и восстановление уплотнения стыков прокладками ПРП в 1 ряд насухо</t>
  </si>
  <si>
    <t xml:space="preserve"> смена задвижек диам.50 мм на шаровые краны</t>
  </si>
  <si>
    <t>установка фланцевых соединений на стальных трубопроводах диам. 50мм</t>
  </si>
  <si>
    <t>изготовление элементов и сборка узлов стальных трубопроводов диам.50мм(катушка)</t>
  </si>
  <si>
    <t>ремонт штукатурки внутренних стен по камню</t>
  </si>
  <si>
    <t>демонтаж и монтаж приемного клапана мусоропровода</t>
  </si>
  <si>
    <t>покрытие грунтовкой глубокого проникновения за 1 раз потолков</t>
  </si>
  <si>
    <t>окраска водно-дисперсионными акриловыми составами улучшенная по штукатурке потолков</t>
  </si>
  <si>
    <t>ремонт межпанельных швов со вскрытием и заменой утеплителя</t>
  </si>
  <si>
    <t xml:space="preserve">ремонт/частичная замена поврежденных участков </t>
  </si>
  <si>
    <t>демонтаж светильников с лампами накаливания</t>
  </si>
  <si>
    <t>установка решетки</t>
  </si>
  <si>
    <t>кг</t>
  </si>
  <si>
    <t>усиление решетки</t>
  </si>
  <si>
    <t>облицовка стен глухих по металлическому каркасу гипсокартонными листами</t>
  </si>
  <si>
    <t>устройство перегородок на однорядном металлическом каркасе с обшивкой гипсокартонными листами</t>
  </si>
  <si>
    <t>окраска водно-дисперсионными акриловыми составами улучшенная по штукатурке откосов</t>
  </si>
  <si>
    <t>улучшенная масляня окраска ранее окрашенных стен за 2 раза(сапожок)</t>
  </si>
  <si>
    <t>4 кватал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</si>
  <si>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</si>
  <si>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8 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</si>
  <si>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</si>
  <si>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</si>
  <si>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изготовление и установка сопла</t>
  </si>
  <si>
    <t>изготовление и установка шайбы</t>
  </si>
  <si>
    <t>ремонт и окраска дверей (восстановление фурнитуры и остекления) шпингалеты</t>
  </si>
  <si>
    <t>смена дверных приборов петли</t>
  </si>
  <si>
    <t>перевязка дверного полотна с уменьшением размера по высоте и ширине</t>
  </si>
  <si>
    <t>установка дверных полотен</t>
  </si>
  <si>
    <t>улучшенная окраска масляными составами по дереву заполнений дверных проемов</t>
  </si>
  <si>
    <t>корчевка пней вручную давностью рубки до трех лет диаметром до 500мм твердых пород</t>
  </si>
  <si>
    <t>пень</t>
  </si>
  <si>
    <t>корчевка пней вручную давностью рубки до трех лет диаметром до 700мм твердых пород</t>
  </si>
  <si>
    <t>ремонт металлических ограждений мелкий</t>
  </si>
  <si>
    <t>установка распаечных коробок</t>
  </si>
  <si>
    <t>смена патронов</t>
  </si>
  <si>
    <t>смена кранов на шаровые диам. 15мм</t>
  </si>
  <si>
    <t>справка о техническом состоянии здания</t>
  </si>
  <si>
    <t xml:space="preserve">распиловка деревьев в городских условиях </t>
  </si>
  <si>
    <t>м3 складочных кряжей</t>
  </si>
  <si>
    <t>замена гибкой подводки кв 17,1,195,192,89,76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</si>
  <si>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</si>
  <si>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прокладка внутренних трубопроводов водоснабжения и отопления из полипропиленовых труб:диам. 20мм</t>
  </si>
  <si>
    <t>прокладка внутренних трубопроводов водоснабжения и отопления из полипропиленовых труб:диам. 25мм</t>
  </si>
  <si>
    <t>ремонт межпанельных швов с заменой прокладки(герметик полиуретановый двухкомпанентный,вилатерм,монтажная пена)</t>
  </si>
  <si>
    <t>демонтаж, монтаж двери металлической</t>
  </si>
  <si>
    <t>смена филенок в дверных полотнах:фанерных</t>
  </si>
  <si>
    <t>смена дверных приборов ручки-скобы</t>
  </si>
  <si>
    <t>смена дверных приборов шпингалеты</t>
  </si>
  <si>
    <t>ремонт оконных переплетов с заменой брусков из профилированных заготовок</t>
  </si>
  <si>
    <t>простая масляная окраска ранее окрашенных окон без подготовки с расчисткой старой краски до 10%</t>
  </si>
  <si>
    <t>смена стекол толщиной 4-6мм при площади стекол до 0,25м2</t>
  </si>
  <si>
    <t>смена стекол толщиной 4-6мм при площади стекол до 0,5м2</t>
  </si>
  <si>
    <t>обивка дверей кровельной сталью взакрой</t>
  </si>
  <si>
    <t>ремонт дверных полотен со сменой брусков обвязки горизотальных на 2 сопряжения верхних</t>
  </si>
  <si>
    <t>3,4 квартал</t>
  </si>
  <si>
    <t>ремонт дверных полотен со сменой брусков обвязки вертикальных числом сопряжений 2</t>
  </si>
  <si>
    <t>смена ламп светодиодных т/р</t>
  </si>
  <si>
    <t>смена дверных приборов:пружины</t>
  </si>
  <si>
    <t>устройство стяжек цементных толщиной 30мм</t>
  </si>
  <si>
    <t>замена шарового крана в кв 33,17,20,1,195,192,20,89,215</t>
  </si>
  <si>
    <t>регулировка дверного доводчика к металлическим дверям</t>
  </si>
  <si>
    <t>ремонт дверных коробок выправка,укрепление и пристрожка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</si>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</sst>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0" xfId="0" applyNumberFormat="1" applyFont="1"/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/>
    <xf numFmtId="0" fontId="8" fillId="3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tabSelected="1" topLeftCell="D194" zoomScale="91" zoomScaleNormal="91" workbookViewId="0">
      <selection activeCell="D201" sqref="D201:I207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6" t="s">
        <v>95</v>
      </c>
      <c r="J1" s="76"/>
    </row>
    <row r="2" spans="1:12" ht="70.5" customHeight="1" x14ac:dyDescent="0.25">
      <c r="A2" s="71" t="s">
        <v>221</v>
      </c>
      <c r="B2" s="72"/>
      <c r="C2" s="72"/>
      <c r="D2" s="72"/>
      <c r="E2" s="72"/>
      <c r="F2" s="72"/>
      <c r="G2" s="72"/>
      <c r="H2" s="72"/>
      <c r="I2" s="72"/>
      <c r="J2" s="72"/>
      <c r="K2" s="2"/>
      <c r="L2" s="2"/>
    </row>
    <row r="3" spans="1:12" ht="75" x14ac:dyDescent="0.25">
      <c r="A3" s="20" t="s">
        <v>80</v>
      </c>
      <c r="B3" s="3"/>
      <c r="C3" s="3"/>
      <c r="D3" s="20" t="s">
        <v>99</v>
      </c>
      <c r="E3" s="20" t="s">
        <v>103</v>
      </c>
      <c r="F3" s="21" t="s">
        <v>101</v>
      </c>
      <c r="G3" s="21" t="s">
        <v>79</v>
      </c>
      <c r="H3" s="21" t="s">
        <v>78</v>
      </c>
      <c r="I3" s="21" t="s">
        <v>100</v>
      </c>
      <c r="J3" s="21" t="s">
        <v>102</v>
      </c>
      <c r="K3" s="2"/>
      <c r="L3" s="2"/>
    </row>
    <row r="4" spans="1:12" ht="18.75" x14ac:dyDescent="0.3">
      <c r="A4" s="77" t="s">
        <v>86</v>
      </c>
      <c r="B4" s="78"/>
      <c r="C4" s="78"/>
      <c r="D4" s="78"/>
      <c r="E4" s="78"/>
      <c r="F4" s="78"/>
      <c r="G4" s="79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194</v>
      </c>
      <c r="E5" s="41"/>
      <c r="F5" s="41"/>
      <c r="G5" s="13" t="s">
        <v>112</v>
      </c>
      <c r="H5" s="59"/>
      <c r="I5" s="61"/>
      <c r="J5" s="62"/>
      <c r="K5" s="2"/>
      <c r="L5" s="2"/>
    </row>
    <row r="6" spans="1:12" ht="18.75" x14ac:dyDescent="0.3">
      <c r="A6" s="6"/>
      <c r="B6" s="5"/>
      <c r="C6" s="4"/>
      <c r="D6" s="15" t="s">
        <v>119</v>
      </c>
      <c r="E6" s="41"/>
      <c r="F6" s="41"/>
      <c r="G6" s="13" t="s">
        <v>112</v>
      </c>
      <c r="H6" s="59"/>
      <c r="I6" s="59"/>
      <c r="J6" s="62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210</v>
      </c>
      <c r="E7" s="41"/>
      <c r="F7" s="41">
        <f>1.4</f>
        <v>1.4</v>
      </c>
      <c r="G7" s="13" t="s">
        <v>112</v>
      </c>
      <c r="H7" s="44">
        <f>2697.6/F7</f>
        <v>1926.8571428571429</v>
      </c>
      <c r="I7" s="59">
        <f>F7*H7</f>
        <v>2697.6</v>
      </c>
      <c r="J7" s="13" t="s">
        <v>199</v>
      </c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38</v>
      </c>
      <c r="E8" s="41" t="s">
        <v>140</v>
      </c>
      <c r="F8" s="41" t="s">
        <v>140</v>
      </c>
      <c r="G8" s="13" t="s">
        <v>30</v>
      </c>
      <c r="H8" s="41" t="s">
        <v>140</v>
      </c>
      <c r="I8" s="59" t="s">
        <v>140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37</v>
      </c>
      <c r="E9" s="41" t="s">
        <v>140</v>
      </c>
      <c r="F9" s="41" t="s">
        <v>140</v>
      </c>
      <c r="G9" s="13" t="s">
        <v>112</v>
      </c>
      <c r="H9" s="41" t="s">
        <v>140</v>
      </c>
      <c r="I9" s="59" t="s">
        <v>140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36</v>
      </c>
      <c r="E10" s="41" t="s">
        <v>140</v>
      </c>
      <c r="F10" s="41" t="s">
        <v>140</v>
      </c>
      <c r="G10" s="13" t="s">
        <v>30</v>
      </c>
      <c r="H10" s="41" t="s">
        <v>140</v>
      </c>
      <c r="I10" s="59" t="s">
        <v>140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85</v>
      </c>
      <c r="E11" s="41" t="s">
        <v>140</v>
      </c>
      <c r="F11" s="41" t="s">
        <v>140</v>
      </c>
      <c r="G11" s="13" t="s">
        <v>31</v>
      </c>
      <c r="H11" s="41" t="s">
        <v>140</v>
      </c>
      <c r="I11" s="59" t="s">
        <v>140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35</v>
      </c>
      <c r="E12" s="41" t="s">
        <v>140</v>
      </c>
      <c r="F12" s="41" t="s">
        <v>140</v>
      </c>
      <c r="G12" s="14" t="s">
        <v>31</v>
      </c>
      <c r="H12" s="41" t="s">
        <v>140</v>
      </c>
      <c r="I12" s="59" t="s">
        <v>140</v>
      </c>
      <c r="J12" s="13"/>
      <c r="K12" s="2"/>
      <c r="L12" s="2"/>
    </row>
    <row r="13" spans="1:12" ht="32.25" x14ac:dyDescent="0.3">
      <c r="A13" s="6" t="s">
        <v>61</v>
      </c>
      <c r="B13" s="5"/>
      <c r="C13" s="4"/>
      <c r="D13" s="15" t="s">
        <v>50</v>
      </c>
      <c r="E13" s="41" t="s">
        <v>140</v>
      </c>
      <c r="F13" s="41" t="s">
        <v>140</v>
      </c>
      <c r="G13" s="13" t="s">
        <v>30</v>
      </c>
      <c r="H13" s="41" t="s">
        <v>140</v>
      </c>
      <c r="I13" s="59" t="s">
        <v>140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140</v>
      </c>
      <c r="F14" s="41" t="s">
        <v>140</v>
      </c>
      <c r="G14" s="13" t="s">
        <v>30</v>
      </c>
      <c r="H14" s="41" t="s">
        <v>140</v>
      </c>
      <c r="I14" s="59" t="s">
        <v>140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45"/>
      <c r="F15" s="45"/>
      <c r="G15" s="31"/>
      <c r="H15" s="41"/>
      <c r="I15" s="61">
        <f>SUM(I5:I14)</f>
        <v>2697.6</v>
      </c>
      <c r="J15" s="13"/>
      <c r="K15" s="2"/>
      <c r="L15" s="2"/>
    </row>
    <row r="16" spans="1:12" ht="18.75" x14ac:dyDescent="0.3">
      <c r="A16" s="77" t="s">
        <v>54</v>
      </c>
      <c r="B16" s="78"/>
      <c r="C16" s="78"/>
      <c r="D16" s="78"/>
      <c r="E16" s="78"/>
      <c r="F16" s="78"/>
      <c r="G16" s="79"/>
      <c r="H16" s="14"/>
      <c r="I16" s="64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94</v>
      </c>
      <c r="E17" s="41"/>
      <c r="F17" s="41"/>
      <c r="G17" s="14" t="s">
        <v>52</v>
      </c>
      <c r="H17" s="41"/>
      <c r="I17" s="59"/>
      <c r="J17" s="13"/>
      <c r="L17" s="2"/>
    </row>
    <row r="18" spans="1:12" ht="18.75" x14ac:dyDescent="0.3">
      <c r="A18" s="6" t="s">
        <v>13</v>
      </c>
      <c r="B18" s="5"/>
      <c r="C18" s="4"/>
      <c r="D18" s="4" t="s">
        <v>40</v>
      </c>
      <c r="E18" s="41"/>
      <c r="F18" s="41"/>
      <c r="G18" s="14" t="s">
        <v>51</v>
      </c>
      <c r="H18" s="41"/>
      <c r="I18" s="59"/>
      <c r="J18" s="13"/>
      <c r="L18" s="2"/>
    </row>
    <row r="19" spans="1:12" ht="18.75" x14ac:dyDescent="0.3">
      <c r="A19" s="6" t="s">
        <v>9</v>
      </c>
      <c r="B19" s="5"/>
      <c r="C19" s="4"/>
      <c r="D19" s="4" t="s">
        <v>45</v>
      </c>
      <c r="E19" s="41"/>
      <c r="F19" s="41"/>
      <c r="G19" s="14" t="s">
        <v>143</v>
      </c>
      <c r="H19" s="41"/>
      <c r="I19" s="59"/>
      <c r="J19" s="13"/>
      <c r="K19" s="2"/>
      <c r="L19" s="2"/>
    </row>
    <row r="20" spans="1:12" ht="32.25" x14ac:dyDescent="0.3">
      <c r="A20" s="6"/>
      <c r="B20" s="5"/>
      <c r="C20" s="4"/>
      <c r="D20" s="15" t="s">
        <v>164</v>
      </c>
      <c r="E20" s="41"/>
      <c r="F20" s="41"/>
      <c r="G20" s="14" t="s">
        <v>88</v>
      </c>
      <c r="H20" s="41"/>
      <c r="I20" s="59"/>
      <c r="J20" s="13"/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1"/>
      <c r="F21" s="41"/>
      <c r="G21" s="14" t="s">
        <v>143</v>
      </c>
      <c r="H21" s="41"/>
      <c r="I21" s="59"/>
      <c r="J21" s="13"/>
      <c r="K21" s="2"/>
      <c r="L21" s="2"/>
    </row>
    <row r="22" spans="1:12" ht="18.75" x14ac:dyDescent="0.3">
      <c r="A22" s="6" t="s">
        <v>11</v>
      </c>
      <c r="B22" s="5"/>
      <c r="C22" s="4"/>
      <c r="D22" s="4" t="s">
        <v>212</v>
      </c>
      <c r="E22" s="41"/>
      <c r="F22" s="41"/>
      <c r="G22" s="14" t="s">
        <v>213</v>
      </c>
      <c r="H22" s="41"/>
      <c r="I22" s="59"/>
      <c r="J22" s="13"/>
      <c r="K22" s="2"/>
      <c r="L22" s="2"/>
    </row>
    <row r="23" spans="1:12" ht="18.75" x14ac:dyDescent="0.3">
      <c r="A23" s="6"/>
      <c r="B23" s="5"/>
      <c r="C23" s="4"/>
      <c r="D23" s="4" t="s">
        <v>214</v>
      </c>
      <c r="E23" s="41"/>
      <c r="F23" s="41"/>
      <c r="G23" s="14" t="s">
        <v>213</v>
      </c>
      <c r="H23" s="41"/>
      <c r="I23" s="59"/>
      <c r="J23" s="13"/>
      <c r="K23" s="2"/>
      <c r="L23" s="2"/>
    </row>
    <row r="24" spans="1:12" ht="18.75" x14ac:dyDescent="0.3">
      <c r="A24" s="6"/>
      <c r="B24" s="5"/>
      <c r="C24" s="4"/>
      <c r="D24" s="4" t="s">
        <v>200</v>
      </c>
      <c r="E24" s="41"/>
      <c r="F24" s="41"/>
      <c r="G24" s="14" t="s">
        <v>112</v>
      </c>
      <c r="H24" s="41"/>
      <c r="I24" s="59"/>
      <c r="J24" s="13"/>
      <c r="K24" s="2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41"/>
      <c r="F25" s="41"/>
      <c r="G25" s="13" t="s">
        <v>30</v>
      </c>
      <c r="H25" s="41"/>
      <c r="I25" s="59"/>
      <c r="J25" s="13"/>
      <c r="K25" s="2"/>
      <c r="L25" s="2"/>
    </row>
    <row r="26" spans="1:12" ht="24.75" customHeight="1" x14ac:dyDescent="0.3">
      <c r="A26" s="6" t="s">
        <v>12</v>
      </c>
      <c r="B26" s="5"/>
      <c r="C26" s="4"/>
      <c r="D26" s="15" t="s">
        <v>39</v>
      </c>
      <c r="E26" s="41"/>
      <c r="F26" s="41"/>
      <c r="G26" s="14" t="s">
        <v>31</v>
      </c>
      <c r="H26" s="41"/>
      <c r="I26" s="59"/>
      <c r="J26" s="13"/>
      <c r="K26" s="2"/>
      <c r="L26" s="2"/>
    </row>
    <row r="27" spans="1:12" ht="18.75" x14ac:dyDescent="0.3">
      <c r="A27" s="6" t="s">
        <v>53</v>
      </c>
      <c r="B27" s="5"/>
      <c r="C27" s="4"/>
      <c r="D27" s="15" t="s">
        <v>193</v>
      </c>
      <c r="E27" s="41"/>
      <c r="F27" s="41"/>
      <c r="G27" s="14" t="s">
        <v>30</v>
      </c>
      <c r="H27" s="41"/>
      <c r="I27" s="59"/>
      <c r="J27" s="13"/>
      <c r="L27" s="2"/>
    </row>
    <row r="28" spans="1:12" ht="32.25" x14ac:dyDescent="0.3">
      <c r="A28" s="6"/>
      <c r="B28" s="5"/>
      <c r="C28" s="4"/>
      <c r="D28" s="15" t="s">
        <v>209</v>
      </c>
      <c r="E28" s="41"/>
      <c r="F28" s="41"/>
      <c r="G28" s="14" t="s">
        <v>30</v>
      </c>
      <c r="H28" s="41"/>
      <c r="I28" s="59"/>
      <c r="J28" s="13"/>
      <c r="L28" s="2"/>
    </row>
    <row r="29" spans="1:12" ht="32.25" x14ac:dyDescent="0.3">
      <c r="A29" s="6" t="s">
        <v>55</v>
      </c>
      <c r="B29" s="5"/>
      <c r="C29" s="4"/>
      <c r="D29" s="15" t="s">
        <v>93</v>
      </c>
      <c r="E29" s="41" t="s">
        <v>140</v>
      </c>
      <c r="F29" s="41" t="s">
        <v>140</v>
      </c>
      <c r="G29" s="14" t="s">
        <v>51</v>
      </c>
      <c r="H29" s="41" t="s">
        <v>140</v>
      </c>
      <c r="I29" s="59" t="s">
        <v>140</v>
      </c>
      <c r="J29" s="13"/>
      <c r="L29" s="2"/>
    </row>
    <row r="30" spans="1:12" ht="32.25" x14ac:dyDescent="0.3">
      <c r="A30" s="6" t="s">
        <v>14</v>
      </c>
      <c r="B30" s="5"/>
      <c r="C30" s="4"/>
      <c r="D30" s="15" t="s">
        <v>92</v>
      </c>
      <c r="E30" s="41" t="s">
        <v>140</v>
      </c>
      <c r="F30" s="41" t="s">
        <v>140</v>
      </c>
      <c r="G30" s="14" t="s">
        <v>52</v>
      </c>
      <c r="H30" s="41" t="s">
        <v>140</v>
      </c>
      <c r="I30" s="59" t="s">
        <v>140</v>
      </c>
      <c r="J30" s="13"/>
      <c r="L30" s="2"/>
    </row>
    <row r="31" spans="1:12" ht="18.75" x14ac:dyDescent="0.3">
      <c r="A31" s="6" t="s">
        <v>15</v>
      </c>
      <c r="B31" s="5"/>
      <c r="C31" s="4"/>
      <c r="D31" s="4" t="s">
        <v>41</v>
      </c>
      <c r="E31" s="41" t="s">
        <v>140</v>
      </c>
      <c r="F31" s="41" t="s">
        <v>140</v>
      </c>
      <c r="G31" s="14" t="s">
        <v>52</v>
      </c>
      <c r="H31" s="41" t="s">
        <v>140</v>
      </c>
      <c r="I31" s="59" t="s">
        <v>140</v>
      </c>
      <c r="J31" s="13"/>
      <c r="L31" s="2"/>
    </row>
    <row r="32" spans="1:12" ht="18.75" x14ac:dyDescent="0.3">
      <c r="A32" s="6" t="s">
        <v>16</v>
      </c>
      <c r="B32" s="5"/>
      <c r="C32" s="4"/>
      <c r="D32" s="4" t="s">
        <v>42</v>
      </c>
      <c r="E32" s="41" t="s">
        <v>140</v>
      </c>
      <c r="F32" s="41" t="s">
        <v>140</v>
      </c>
      <c r="G32" s="14" t="s">
        <v>51</v>
      </c>
      <c r="H32" s="41" t="s">
        <v>140</v>
      </c>
      <c r="I32" s="59" t="s">
        <v>140</v>
      </c>
      <c r="J32" s="13"/>
      <c r="L32" s="2"/>
    </row>
    <row r="33" spans="1:12" ht="18.75" x14ac:dyDescent="0.3">
      <c r="A33" s="6" t="s">
        <v>17</v>
      </c>
      <c r="B33" s="5"/>
      <c r="C33" s="4"/>
      <c r="D33" s="4" t="s">
        <v>43</v>
      </c>
      <c r="E33" s="41" t="s">
        <v>140</v>
      </c>
      <c r="F33" s="41" t="s">
        <v>140</v>
      </c>
      <c r="G33" s="13" t="s">
        <v>30</v>
      </c>
      <c r="H33" s="41" t="s">
        <v>140</v>
      </c>
      <c r="I33" s="59" t="s">
        <v>140</v>
      </c>
      <c r="J33" s="13"/>
      <c r="L33" s="2"/>
    </row>
    <row r="34" spans="1:12" ht="48" x14ac:dyDescent="0.3">
      <c r="A34" s="6"/>
      <c r="B34" s="5"/>
      <c r="C34" s="4"/>
      <c r="D34" s="15" t="s">
        <v>245</v>
      </c>
      <c r="E34" s="41"/>
      <c r="F34" s="41">
        <v>12</v>
      </c>
      <c r="G34" s="13" t="s">
        <v>30</v>
      </c>
      <c r="H34" s="41">
        <f>7452/F34</f>
        <v>621</v>
      </c>
      <c r="I34" s="59">
        <f>F34*H34</f>
        <v>7452</v>
      </c>
      <c r="J34" s="13" t="s">
        <v>117</v>
      </c>
      <c r="L34" s="2"/>
    </row>
    <row r="35" spans="1:12" ht="18.75" x14ac:dyDescent="0.3">
      <c r="A35" s="6" t="s">
        <v>18</v>
      </c>
      <c r="B35" s="5"/>
      <c r="C35" s="4"/>
      <c r="D35" s="4" t="s">
        <v>44</v>
      </c>
      <c r="E35" s="41" t="s">
        <v>140</v>
      </c>
      <c r="F35" s="41" t="s">
        <v>140</v>
      </c>
      <c r="G35" s="14" t="s">
        <v>52</v>
      </c>
      <c r="H35" s="41" t="s">
        <v>140</v>
      </c>
      <c r="I35" s="59" t="s">
        <v>140</v>
      </c>
      <c r="J35" s="13"/>
      <c r="L35" s="2"/>
    </row>
    <row r="36" spans="1:12" ht="18.75" x14ac:dyDescent="0.3">
      <c r="A36" s="28"/>
      <c r="B36" s="22"/>
      <c r="C36" s="22"/>
      <c r="D36" s="22"/>
      <c r="E36" s="45"/>
      <c r="F36" s="45"/>
      <c r="G36" s="12"/>
      <c r="H36" s="41"/>
      <c r="I36" s="61">
        <f>SUM(I17:I35)</f>
        <v>7452</v>
      </c>
      <c r="J36" s="13"/>
      <c r="L36" s="2"/>
    </row>
    <row r="37" spans="1:12" ht="24" customHeight="1" x14ac:dyDescent="0.3">
      <c r="A37" s="77" t="s">
        <v>84</v>
      </c>
      <c r="B37" s="78"/>
      <c r="C37" s="78"/>
      <c r="D37" s="78"/>
      <c r="E37" s="78"/>
      <c r="F37" s="78"/>
      <c r="G37" s="79"/>
      <c r="H37" s="14"/>
      <c r="I37" s="64"/>
      <c r="J37" s="13"/>
      <c r="L37" s="2"/>
    </row>
    <row r="38" spans="1:12" ht="32.25" customHeight="1" x14ac:dyDescent="0.3">
      <c r="A38" s="6" t="s">
        <v>47</v>
      </c>
      <c r="B38" s="5"/>
      <c r="C38" s="4"/>
      <c r="D38" s="15" t="s">
        <v>226</v>
      </c>
      <c r="E38" s="41" t="s">
        <v>140</v>
      </c>
      <c r="F38" s="41">
        <f>2</f>
        <v>2</v>
      </c>
      <c r="G38" s="38" t="s">
        <v>31</v>
      </c>
      <c r="H38" s="41">
        <f>2669.4/F38</f>
        <v>1334.7</v>
      </c>
      <c r="I38" s="59">
        <f>F38*H38</f>
        <v>2669.4</v>
      </c>
      <c r="J38" s="13" t="s">
        <v>146</v>
      </c>
      <c r="L38" s="2"/>
    </row>
    <row r="39" spans="1:12" ht="32.25" customHeight="1" x14ac:dyDescent="0.3">
      <c r="A39" s="6"/>
      <c r="B39" s="5"/>
      <c r="C39" s="4"/>
      <c r="D39" s="15" t="s">
        <v>227</v>
      </c>
      <c r="E39" s="41" t="s">
        <v>140</v>
      </c>
      <c r="F39" s="41">
        <f>2+2</f>
        <v>4</v>
      </c>
      <c r="G39" s="38" t="s">
        <v>31</v>
      </c>
      <c r="H39" s="41">
        <f>(1876.6+2026.6)/F39</f>
        <v>975.8</v>
      </c>
      <c r="I39" s="59">
        <f>F39*H39</f>
        <v>3903.2</v>
      </c>
      <c r="J39" s="13" t="s">
        <v>146</v>
      </c>
      <c r="L39" s="2"/>
    </row>
    <row r="40" spans="1:12" ht="32.25" customHeight="1" x14ac:dyDescent="0.3">
      <c r="A40" s="6"/>
      <c r="B40" s="5"/>
      <c r="C40" s="4"/>
      <c r="D40" s="15" t="s">
        <v>248</v>
      </c>
      <c r="E40" s="41" t="s">
        <v>140</v>
      </c>
      <c r="F40" s="41">
        <f>2</f>
        <v>2</v>
      </c>
      <c r="G40" s="38" t="s">
        <v>31</v>
      </c>
      <c r="H40" s="41">
        <f>748.4/F40</f>
        <v>374.2</v>
      </c>
      <c r="I40" s="59">
        <f t="shared" ref="I40" si="0">F40*H40</f>
        <v>748.4</v>
      </c>
      <c r="J40" s="13" t="s">
        <v>120</v>
      </c>
      <c r="L40" s="2"/>
    </row>
    <row r="41" spans="1:12" ht="32.25" customHeight="1" x14ac:dyDescent="0.3">
      <c r="A41" s="6"/>
      <c r="B41" s="5"/>
      <c r="C41" s="4"/>
      <c r="D41" s="15" t="s">
        <v>249</v>
      </c>
      <c r="E41" s="41" t="s">
        <v>140</v>
      </c>
      <c r="F41" s="41">
        <f>6+1+1+1</f>
        <v>9</v>
      </c>
      <c r="G41" s="38" t="s">
        <v>31</v>
      </c>
      <c r="H41" s="44">
        <f>(8653.6+1442.4+1442.4)/F41</f>
        <v>1282.0444444444445</v>
      </c>
      <c r="I41" s="59">
        <f>F41*H41+5</f>
        <v>11543.4</v>
      </c>
      <c r="J41" s="13" t="s">
        <v>256</v>
      </c>
      <c r="L41" s="2"/>
    </row>
    <row r="42" spans="1:12" ht="32.25" customHeight="1" x14ac:dyDescent="0.3">
      <c r="A42" s="6"/>
      <c r="B42" s="5"/>
      <c r="C42" s="4"/>
      <c r="D42" s="15" t="s">
        <v>262</v>
      </c>
      <c r="E42" s="41"/>
      <c r="F42" s="41">
        <f>1</f>
        <v>1</v>
      </c>
      <c r="G42" s="38" t="s">
        <v>31</v>
      </c>
      <c r="H42" s="44">
        <f>1438.4/F42</f>
        <v>1438.4</v>
      </c>
      <c r="I42" s="59">
        <f t="shared" ref="I42:I47" si="1">F42*H42</f>
        <v>1438.4</v>
      </c>
      <c r="J42" s="13" t="s">
        <v>120</v>
      </c>
      <c r="L42" s="2"/>
    </row>
    <row r="43" spans="1:12" ht="32.25" customHeight="1" x14ac:dyDescent="0.3">
      <c r="A43" s="6"/>
      <c r="B43" s="5"/>
      <c r="C43" s="4"/>
      <c r="D43" s="6" t="s">
        <v>259</v>
      </c>
      <c r="E43" s="41"/>
      <c r="F43" s="41">
        <f>1</f>
        <v>1</v>
      </c>
      <c r="G43" s="38" t="s">
        <v>31</v>
      </c>
      <c r="H43" s="44">
        <f>588.2/F43</f>
        <v>588.20000000000005</v>
      </c>
      <c r="I43" s="58">
        <f t="shared" si="1"/>
        <v>588.20000000000005</v>
      </c>
      <c r="J43" s="13" t="s">
        <v>120</v>
      </c>
      <c r="L43" s="2"/>
    </row>
    <row r="44" spans="1:12" ht="32.25" customHeight="1" x14ac:dyDescent="0.3">
      <c r="A44" s="6"/>
      <c r="B44" s="5"/>
      <c r="C44" s="4"/>
      <c r="D44" s="6" t="s">
        <v>259</v>
      </c>
      <c r="E44" s="41"/>
      <c r="F44" s="41">
        <v>4</v>
      </c>
      <c r="G44" s="38" t="s">
        <v>31</v>
      </c>
      <c r="H44" s="44">
        <f>2355.2/F44</f>
        <v>588.79999999999995</v>
      </c>
      <c r="I44" s="59">
        <f t="shared" si="1"/>
        <v>2355.1999999999998</v>
      </c>
      <c r="J44" s="13" t="s">
        <v>120</v>
      </c>
      <c r="L44" s="2"/>
    </row>
    <row r="45" spans="1:12" ht="32.25" customHeight="1" x14ac:dyDescent="0.3">
      <c r="A45" s="6"/>
      <c r="B45" s="5"/>
      <c r="C45" s="4"/>
      <c r="D45" s="15" t="s">
        <v>247</v>
      </c>
      <c r="E45" s="41"/>
      <c r="F45" s="41">
        <f>2</f>
        <v>2</v>
      </c>
      <c r="G45" s="38" t="s">
        <v>31</v>
      </c>
      <c r="H45" s="41">
        <f>12710.4/F45</f>
        <v>6355.2</v>
      </c>
      <c r="I45" s="59">
        <f t="shared" si="1"/>
        <v>12710.4</v>
      </c>
      <c r="J45" s="13" t="s">
        <v>120</v>
      </c>
      <c r="L45" s="2"/>
    </row>
    <row r="46" spans="1:12" ht="32.25" customHeight="1" x14ac:dyDescent="0.3">
      <c r="A46" s="6"/>
      <c r="B46" s="5"/>
      <c r="C46" s="4"/>
      <c r="D46" s="15" t="s">
        <v>228</v>
      </c>
      <c r="E46" s="41"/>
      <c r="F46" s="41">
        <v>1</v>
      </c>
      <c r="G46" s="38" t="s">
        <v>31</v>
      </c>
      <c r="H46" s="41">
        <f>3915.6/F46</f>
        <v>3915.6</v>
      </c>
      <c r="I46" s="59">
        <f t="shared" si="1"/>
        <v>3915.6</v>
      </c>
      <c r="J46" s="13" t="s">
        <v>146</v>
      </c>
      <c r="L46" s="2"/>
    </row>
    <row r="47" spans="1:12" ht="32.25" customHeight="1" x14ac:dyDescent="0.3">
      <c r="A47" s="6"/>
      <c r="B47" s="5"/>
      <c r="C47" s="4"/>
      <c r="D47" s="15" t="s">
        <v>257</v>
      </c>
      <c r="E47" s="41"/>
      <c r="F47" s="41">
        <f>1+13</f>
        <v>14</v>
      </c>
      <c r="G47" s="38" t="s">
        <v>31</v>
      </c>
      <c r="H47" s="44">
        <f>(3242.6+43603.4)/F47</f>
        <v>3346.1428571428573</v>
      </c>
      <c r="I47" s="59">
        <f t="shared" si="1"/>
        <v>46846</v>
      </c>
      <c r="J47" s="13" t="s">
        <v>117</v>
      </c>
      <c r="L47" s="2"/>
    </row>
    <row r="48" spans="1:12" ht="32.25" customHeight="1" x14ac:dyDescent="0.3">
      <c r="A48" s="6"/>
      <c r="B48" s="5"/>
      <c r="C48" s="4"/>
      <c r="D48" s="15" t="s">
        <v>229</v>
      </c>
      <c r="E48" s="41"/>
      <c r="F48" s="41">
        <f>1</f>
        <v>1</v>
      </c>
      <c r="G48" s="13" t="s">
        <v>31</v>
      </c>
      <c r="H48" s="41">
        <f>3825/F48</f>
        <v>3825</v>
      </c>
      <c r="I48" s="59">
        <f t="shared" ref="I48:I50" si="2">F48*H48</f>
        <v>3825</v>
      </c>
      <c r="J48" s="13" t="s">
        <v>146</v>
      </c>
      <c r="L48" s="2"/>
    </row>
    <row r="49" spans="1:12" ht="32.25" customHeight="1" x14ac:dyDescent="0.3">
      <c r="A49" s="6"/>
      <c r="B49" s="5"/>
      <c r="C49" s="4"/>
      <c r="D49" s="15" t="s">
        <v>201</v>
      </c>
      <c r="E49" s="41"/>
      <c r="F49" s="41">
        <f>11.2+13</f>
        <v>24.2</v>
      </c>
      <c r="G49" s="13" t="s">
        <v>30</v>
      </c>
      <c r="H49" s="44">
        <f>(2659.4+3424.6)/F49</f>
        <v>251.40495867768595</v>
      </c>
      <c r="I49" s="59">
        <f t="shared" si="2"/>
        <v>6084</v>
      </c>
      <c r="J49" s="13" t="s">
        <v>117</v>
      </c>
      <c r="L49" s="2"/>
    </row>
    <row r="50" spans="1:12" ht="32.25" customHeight="1" x14ac:dyDescent="0.3">
      <c r="A50" s="6"/>
      <c r="B50" s="5"/>
      <c r="C50" s="4"/>
      <c r="D50" s="15" t="s">
        <v>230</v>
      </c>
      <c r="E50" s="41"/>
      <c r="F50" s="41">
        <v>1.2</v>
      </c>
      <c r="G50" s="13" t="s">
        <v>112</v>
      </c>
      <c r="H50" s="41">
        <f>1213.2/F50</f>
        <v>1011.0000000000001</v>
      </c>
      <c r="I50" s="59">
        <f t="shared" si="2"/>
        <v>1213.2</v>
      </c>
      <c r="J50" s="13" t="s">
        <v>117</v>
      </c>
      <c r="L50" s="2"/>
    </row>
    <row r="51" spans="1:12" ht="32.25" customHeight="1" x14ac:dyDescent="0.3">
      <c r="A51" s="6"/>
      <c r="B51" s="5"/>
      <c r="C51" s="4"/>
      <c r="D51" s="15" t="s">
        <v>246</v>
      </c>
      <c r="E51" s="41"/>
      <c r="F51" s="41">
        <f>2</f>
        <v>2</v>
      </c>
      <c r="G51" s="13" t="s">
        <v>31</v>
      </c>
      <c r="H51" s="41">
        <f>102000/F51</f>
        <v>51000</v>
      </c>
      <c r="I51" s="59">
        <f>F51*H51</f>
        <v>102000</v>
      </c>
      <c r="J51" s="13" t="s">
        <v>120</v>
      </c>
      <c r="L51" s="2"/>
    </row>
    <row r="52" spans="1:12" ht="32.25" customHeight="1" x14ac:dyDescent="0.3">
      <c r="A52" s="6"/>
      <c r="B52" s="5"/>
      <c r="C52" s="4"/>
      <c r="D52" s="15" t="s">
        <v>254</v>
      </c>
      <c r="E52" s="41"/>
      <c r="F52" s="41">
        <v>0.25</v>
      </c>
      <c r="G52" s="13" t="s">
        <v>112</v>
      </c>
      <c r="H52" s="41">
        <f>295/F52</f>
        <v>1180</v>
      </c>
      <c r="I52" s="59">
        <f>F52*H52</f>
        <v>295</v>
      </c>
      <c r="J52" s="13" t="s">
        <v>117</v>
      </c>
      <c r="L52" s="2"/>
    </row>
    <row r="53" spans="1:12" ht="32.25" customHeight="1" x14ac:dyDescent="0.3">
      <c r="A53" s="6"/>
      <c r="B53" s="5"/>
      <c r="C53" s="4"/>
      <c r="D53" s="15" t="s">
        <v>255</v>
      </c>
      <c r="E53" s="41"/>
      <c r="F53" s="41">
        <f>2</f>
        <v>2</v>
      </c>
      <c r="G53" s="13" t="s">
        <v>31</v>
      </c>
      <c r="H53" s="41">
        <f>4400/F53</f>
        <v>2200</v>
      </c>
      <c r="I53" s="59">
        <f>F53*H53</f>
        <v>4400</v>
      </c>
      <c r="J53" s="13" t="s">
        <v>120</v>
      </c>
      <c r="L53" s="2"/>
    </row>
    <row r="54" spans="1:12" ht="32.25" customHeight="1" x14ac:dyDescent="0.3">
      <c r="A54" s="6"/>
      <c r="B54" s="5"/>
      <c r="C54" s="4"/>
      <c r="D54" s="15" t="s">
        <v>263</v>
      </c>
      <c r="E54" s="41"/>
      <c r="F54" s="41">
        <f>12</f>
        <v>12</v>
      </c>
      <c r="G54" s="13" t="s">
        <v>31</v>
      </c>
      <c r="H54" s="41">
        <f>13334.4/F54</f>
        <v>1111.2</v>
      </c>
      <c r="I54" s="59">
        <f>F54*H54</f>
        <v>13334.400000000001</v>
      </c>
      <c r="J54" s="13" t="s">
        <v>120</v>
      </c>
      <c r="L54" s="2"/>
    </row>
    <row r="55" spans="1:12" ht="32.25" x14ac:dyDescent="0.3">
      <c r="A55" s="6" t="s">
        <v>48</v>
      </c>
      <c r="B55" s="5"/>
      <c r="C55" s="4"/>
      <c r="D55" s="15" t="s">
        <v>98</v>
      </c>
      <c r="E55" s="41"/>
      <c r="F55" s="41"/>
      <c r="G55" s="13" t="s">
        <v>52</v>
      </c>
      <c r="H55" s="41"/>
      <c r="I55" s="59"/>
      <c r="J55" s="13"/>
      <c r="L55" s="2"/>
    </row>
    <row r="56" spans="1:12" ht="32.25" x14ac:dyDescent="0.3">
      <c r="A56" s="6"/>
      <c r="B56" s="5"/>
      <c r="C56" s="4"/>
      <c r="D56" s="15" t="s">
        <v>250</v>
      </c>
      <c r="E56" s="41"/>
      <c r="F56" s="41">
        <v>6</v>
      </c>
      <c r="G56" s="13" t="s">
        <v>31</v>
      </c>
      <c r="H56" s="44">
        <f>20247.4/F56</f>
        <v>3374.5666666666671</v>
      </c>
      <c r="I56" s="59">
        <f>F56*H56</f>
        <v>20247.400000000001</v>
      </c>
      <c r="J56" s="13" t="s">
        <v>120</v>
      </c>
      <c r="L56" s="2"/>
    </row>
    <row r="57" spans="1:12" ht="48" x14ac:dyDescent="0.3">
      <c r="A57" s="6"/>
      <c r="B57" s="5"/>
      <c r="C57" s="4"/>
      <c r="D57" s="15" t="s">
        <v>251</v>
      </c>
      <c r="E57" s="41"/>
      <c r="F57" s="41">
        <f>6</f>
        <v>6</v>
      </c>
      <c r="G57" s="13" t="s">
        <v>112</v>
      </c>
      <c r="H57" s="44">
        <f>1840/F57</f>
        <v>306.66666666666669</v>
      </c>
      <c r="I57" s="59">
        <f>F57*H57</f>
        <v>1840</v>
      </c>
      <c r="J57" s="13" t="s">
        <v>120</v>
      </c>
      <c r="L57" s="2"/>
    </row>
    <row r="58" spans="1:12" ht="32.25" x14ac:dyDescent="0.3">
      <c r="A58" s="6"/>
      <c r="B58" s="5"/>
      <c r="C58" s="4"/>
      <c r="D58" s="15" t="s">
        <v>252</v>
      </c>
      <c r="E58" s="41"/>
      <c r="F58" s="41">
        <v>0.22</v>
      </c>
      <c r="G58" s="13" t="s">
        <v>112</v>
      </c>
      <c r="H58" s="44">
        <f>727.2/F58</f>
        <v>3305.4545454545455</v>
      </c>
      <c r="I58" s="59">
        <f>F58*H58</f>
        <v>727.2</v>
      </c>
      <c r="J58" s="13" t="s">
        <v>120</v>
      </c>
      <c r="L58" s="2"/>
    </row>
    <row r="59" spans="1:12" ht="32.25" x14ac:dyDescent="0.3">
      <c r="A59" s="6"/>
      <c r="B59" s="5"/>
      <c r="C59" s="4"/>
      <c r="D59" s="15" t="s">
        <v>253</v>
      </c>
      <c r="E59" s="41"/>
      <c r="F59" s="41">
        <v>0.49</v>
      </c>
      <c r="G59" s="13" t="s">
        <v>112</v>
      </c>
      <c r="H59" s="44">
        <f>1292.4/F59</f>
        <v>2637.5510204081634</v>
      </c>
      <c r="I59" s="59">
        <f t="shared" ref="I59" si="3">F59*H59</f>
        <v>1292.4000000000001</v>
      </c>
      <c r="J59" s="13" t="s">
        <v>120</v>
      </c>
      <c r="L59" s="2"/>
    </row>
    <row r="60" spans="1:12" ht="48" x14ac:dyDescent="0.3">
      <c r="A60" s="6" t="s">
        <v>57</v>
      </c>
      <c r="B60" s="8"/>
      <c r="C60" s="4"/>
      <c r="D60" s="15" t="s">
        <v>216</v>
      </c>
      <c r="E60" s="41"/>
      <c r="F60" s="41"/>
      <c r="G60" s="14" t="s">
        <v>112</v>
      </c>
      <c r="H60" s="41"/>
      <c r="I60" s="59"/>
      <c r="J60" s="13"/>
      <c r="L60" s="2"/>
    </row>
    <row r="61" spans="1:12" ht="18.75" x14ac:dyDescent="0.3">
      <c r="A61" s="6"/>
      <c r="B61" s="8"/>
      <c r="C61" s="4"/>
      <c r="D61" s="15" t="s">
        <v>205</v>
      </c>
      <c r="E61" s="41"/>
      <c r="F61" s="41"/>
      <c r="G61" s="14" t="s">
        <v>112</v>
      </c>
      <c r="H61" s="41"/>
      <c r="I61" s="59"/>
      <c r="J61" s="13"/>
      <c r="L61" s="2"/>
    </row>
    <row r="62" spans="1:12" ht="32.25" x14ac:dyDescent="0.3">
      <c r="A62" s="6"/>
      <c r="B62" s="8"/>
      <c r="C62" s="4"/>
      <c r="D62" s="15" t="s">
        <v>207</v>
      </c>
      <c r="E62" s="41"/>
      <c r="F62" s="41"/>
      <c r="G62" s="14" t="s">
        <v>112</v>
      </c>
      <c r="H62" s="41"/>
      <c r="I62" s="59"/>
      <c r="J62" s="13"/>
      <c r="L62" s="2"/>
    </row>
    <row r="63" spans="1:12" ht="32.25" x14ac:dyDescent="0.3">
      <c r="A63" s="6"/>
      <c r="B63" s="8"/>
      <c r="C63" s="4"/>
      <c r="D63" s="15" t="s">
        <v>208</v>
      </c>
      <c r="E63" s="41"/>
      <c r="F63" s="41"/>
      <c r="G63" s="14" t="s">
        <v>112</v>
      </c>
      <c r="H63" s="41"/>
      <c r="I63" s="59"/>
      <c r="J63" s="13"/>
      <c r="L63" s="2"/>
    </row>
    <row r="64" spans="1:12" ht="32.25" x14ac:dyDescent="0.3">
      <c r="A64" s="6"/>
      <c r="B64" s="8"/>
      <c r="C64" s="4"/>
      <c r="D64" s="15" t="s">
        <v>215</v>
      </c>
      <c r="E64" s="41"/>
      <c r="F64" s="41"/>
      <c r="G64" s="14" t="s">
        <v>112</v>
      </c>
      <c r="H64" s="41"/>
      <c r="I64" s="59"/>
      <c r="J64" s="13"/>
      <c r="L64" s="2"/>
    </row>
    <row r="65" spans="1:12" ht="32.25" x14ac:dyDescent="0.3">
      <c r="A65" s="6"/>
      <c r="B65" s="8"/>
      <c r="C65" s="4"/>
      <c r="D65" s="15" t="s">
        <v>217</v>
      </c>
      <c r="E65" s="41"/>
      <c r="F65" s="41"/>
      <c r="G65" s="14" t="s">
        <v>112</v>
      </c>
      <c r="H65" s="41"/>
      <c r="I65" s="59"/>
      <c r="J65" s="13"/>
      <c r="L65" s="2"/>
    </row>
    <row r="66" spans="1:12" ht="32.25" x14ac:dyDescent="0.3">
      <c r="A66" s="6"/>
      <c r="B66" s="8"/>
      <c r="C66" s="4"/>
      <c r="D66" s="15" t="s">
        <v>218</v>
      </c>
      <c r="E66" s="41"/>
      <c r="F66" s="41"/>
      <c r="G66" s="14" t="s">
        <v>112</v>
      </c>
      <c r="H66" s="41"/>
      <c r="I66" s="59"/>
      <c r="J66" s="13"/>
      <c r="L66" s="2"/>
    </row>
    <row r="67" spans="1:12" ht="18.75" x14ac:dyDescent="0.3">
      <c r="A67" s="6" t="s">
        <v>59</v>
      </c>
      <c r="B67" s="5"/>
      <c r="C67" s="4"/>
      <c r="D67" s="15" t="s">
        <v>49</v>
      </c>
      <c r="E67" s="41"/>
      <c r="F67" s="41"/>
      <c r="G67" s="14" t="s">
        <v>30</v>
      </c>
      <c r="H67" s="41"/>
      <c r="I67" s="59"/>
      <c r="J67" s="13"/>
      <c r="L67" s="2"/>
    </row>
    <row r="68" spans="1:12" ht="32.25" x14ac:dyDescent="0.3">
      <c r="A68" s="6"/>
      <c r="B68" s="5"/>
      <c r="C68" s="4"/>
      <c r="D68" s="15" t="s">
        <v>197</v>
      </c>
      <c r="E68" s="41"/>
      <c r="F68" s="41"/>
      <c r="G68" s="14" t="s">
        <v>112</v>
      </c>
      <c r="H68" s="41"/>
      <c r="I68" s="59"/>
      <c r="J68" s="13"/>
      <c r="L68" s="2"/>
    </row>
    <row r="69" spans="1:12" ht="32.25" x14ac:dyDescent="0.3">
      <c r="A69" s="6"/>
      <c r="B69" s="5"/>
      <c r="C69" s="4"/>
      <c r="D69" s="15" t="s">
        <v>198</v>
      </c>
      <c r="E69" s="41"/>
      <c r="F69" s="41">
        <f>56+31</f>
        <v>87</v>
      </c>
      <c r="G69" s="14" t="s">
        <v>112</v>
      </c>
      <c r="H69" s="44">
        <f>(98248.2+63580)/F69</f>
        <v>1860.0942528735634</v>
      </c>
      <c r="I69" s="59">
        <f>F69*H69</f>
        <v>161828.20000000001</v>
      </c>
      <c r="J69" s="13" t="s">
        <v>120</v>
      </c>
      <c r="L69" s="2"/>
    </row>
    <row r="70" spans="1:12" ht="32.25" x14ac:dyDescent="0.3">
      <c r="A70" s="6" t="s">
        <v>60</v>
      </c>
      <c r="B70" s="5"/>
      <c r="C70" s="4"/>
      <c r="D70" s="15" t="s">
        <v>62</v>
      </c>
      <c r="E70" s="41"/>
      <c r="F70" s="41"/>
      <c r="G70" s="13" t="s">
        <v>30</v>
      </c>
      <c r="H70" s="41" t="s">
        <v>140</v>
      </c>
      <c r="I70" s="59" t="s">
        <v>140</v>
      </c>
      <c r="J70" s="13"/>
      <c r="L70" s="2"/>
    </row>
    <row r="71" spans="1:12" ht="32.25" x14ac:dyDescent="0.3">
      <c r="A71" s="6"/>
      <c r="B71" s="5"/>
      <c r="C71" s="4"/>
      <c r="D71" s="15" t="s">
        <v>206</v>
      </c>
      <c r="E71" s="41"/>
      <c r="F71" s="41">
        <v>1</v>
      </c>
      <c r="G71" s="13" t="s">
        <v>31</v>
      </c>
      <c r="H71" s="41">
        <f>(683.4+969.2)/F71</f>
        <v>1652.6</v>
      </c>
      <c r="I71" s="59">
        <f>F71*H71</f>
        <v>1652.6</v>
      </c>
      <c r="J71" s="13" t="s">
        <v>219</v>
      </c>
      <c r="L71" s="2"/>
    </row>
    <row r="72" spans="1:12" ht="18.75" x14ac:dyDescent="0.3">
      <c r="A72" s="6" t="s">
        <v>56</v>
      </c>
      <c r="B72" s="8"/>
      <c r="C72" s="4"/>
      <c r="D72" s="4" t="s">
        <v>45</v>
      </c>
      <c r="E72" s="41" t="s">
        <v>140</v>
      </c>
      <c r="F72" s="41" t="s">
        <v>140</v>
      </c>
      <c r="G72" s="14" t="s">
        <v>51</v>
      </c>
      <c r="H72" s="41" t="s">
        <v>140</v>
      </c>
      <c r="I72" s="59" t="s">
        <v>140</v>
      </c>
      <c r="J72" s="13"/>
      <c r="L72" s="2"/>
    </row>
    <row r="73" spans="1:12" ht="18.75" x14ac:dyDescent="0.3">
      <c r="A73" s="6"/>
      <c r="B73" s="8"/>
      <c r="C73" s="4"/>
      <c r="D73" s="4" t="s">
        <v>260</v>
      </c>
      <c r="E73" s="41"/>
      <c r="F73" s="41">
        <f>2.5</f>
        <v>2.5</v>
      </c>
      <c r="G73" s="14" t="s">
        <v>112</v>
      </c>
      <c r="H73" s="41">
        <f>(2058+6077)/F73</f>
        <v>3254</v>
      </c>
      <c r="I73" s="59">
        <f>F73*H73</f>
        <v>8135</v>
      </c>
      <c r="J73" s="13"/>
      <c r="L73" s="2"/>
    </row>
    <row r="74" spans="1:12" ht="24" customHeight="1" x14ac:dyDescent="0.3">
      <c r="A74" s="6" t="s">
        <v>58</v>
      </c>
      <c r="B74" s="8"/>
      <c r="C74" s="4"/>
      <c r="D74" s="4" t="s">
        <v>46</v>
      </c>
      <c r="E74" s="41" t="s">
        <v>140</v>
      </c>
      <c r="F74" s="41" t="s">
        <v>140</v>
      </c>
      <c r="G74" s="14" t="s">
        <v>51</v>
      </c>
      <c r="H74" s="41" t="s">
        <v>140</v>
      </c>
      <c r="I74" s="59" t="s">
        <v>140</v>
      </c>
      <c r="J74" s="13"/>
      <c r="L74" s="2"/>
    </row>
    <row r="75" spans="1:12" ht="18.75" x14ac:dyDescent="0.3">
      <c r="A75" s="6" t="s">
        <v>63</v>
      </c>
      <c r="B75" s="5"/>
      <c r="C75" s="4"/>
      <c r="D75" s="4" t="s">
        <v>91</v>
      </c>
      <c r="E75" s="41" t="s">
        <v>140</v>
      </c>
      <c r="F75" s="41" t="s">
        <v>140</v>
      </c>
      <c r="G75" s="14" t="s">
        <v>52</v>
      </c>
      <c r="H75" s="41" t="s">
        <v>140</v>
      </c>
      <c r="I75" s="59" t="s">
        <v>140</v>
      </c>
      <c r="J75" s="13"/>
      <c r="L75" s="2"/>
    </row>
    <row r="76" spans="1:12" ht="18.75" x14ac:dyDescent="0.3">
      <c r="A76" s="28"/>
      <c r="B76" s="22"/>
      <c r="C76" s="22"/>
      <c r="D76" s="22"/>
      <c r="E76" s="45"/>
      <c r="F76" s="45"/>
      <c r="G76" s="12"/>
      <c r="H76" s="41"/>
      <c r="I76" s="61">
        <f>SUM(I38:I75)</f>
        <v>413592.6</v>
      </c>
      <c r="J76" s="13"/>
      <c r="L76" s="2"/>
    </row>
    <row r="77" spans="1:12" ht="18.75" x14ac:dyDescent="0.3">
      <c r="A77" s="77" t="s">
        <v>65</v>
      </c>
      <c r="B77" s="78"/>
      <c r="C77" s="78"/>
      <c r="D77" s="78"/>
      <c r="E77" s="78"/>
      <c r="F77" s="78"/>
      <c r="G77" s="79"/>
      <c r="H77" s="18"/>
      <c r="I77" s="64"/>
      <c r="J77" s="13"/>
      <c r="L77" s="2"/>
    </row>
    <row r="78" spans="1:12" ht="37.5" x14ac:dyDescent="0.25">
      <c r="A78" s="9" t="s">
        <v>29</v>
      </c>
      <c r="B78" s="8"/>
      <c r="C78" s="4"/>
      <c r="D78" s="15" t="s">
        <v>142</v>
      </c>
      <c r="E78" s="41" t="s">
        <v>140</v>
      </c>
      <c r="F78" s="41" t="s">
        <v>140</v>
      </c>
      <c r="G78" s="13" t="s">
        <v>52</v>
      </c>
      <c r="H78" s="41" t="s">
        <v>140</v>
      </c>
      <c r="I78" s="59" t="s">
        <v>140</v>
      </c>
      <c r="J78" s="13"/>
      <c r="L78" s="2"/>
    </row>
    <row r="79" spans="1:12" ht="46.5" customHeight="1" x14ac:dyDescent="0.25">
      <c r="A79" s="9" t="s">
        <v>90</v>
      </c>
      <c r="B79" s="8"/>
      <c r="C79" s="4"/>
      <c r="D79" s="42" t="s">
        <v>125</v>
      </c>
      <c r="E79" s="32"/>
      <c r="F79" s="13">
        <v>1800</v>
      </c>
      <c r="G79" s="13" t="s">
        <v>112</v>
      </c>
      <c r="H79" s="33">
        <f>(7580.2+7580.2+7580.2+7749.6+7749.6+7749.6+7955.8+7955.8+7955.8+8209+8209+8209)/F79</f>
        <v>52.491</v>
      </c>
      <c r="I79" s="60">
        <f t="shared" ref="I79" si="4">F79*H79</f>
        <v>94483.8</v>
      </c>
      <c r="J79" s="13" t="s">
        <v>115</v>
      </c>
      <c r="L79" s="2"/>
    </row>
    <row r="80" spans="1:12" ht="46.5" customHeight="1" x14ac:dyDescent="0.25">
      <c r="A80" s="9"/>
      <c r="B80" s="8"/>
      <c r="C80" s="4"/>
      <c r="D80" s="15" t="s">
        <v>110</v>
      </c>
      <c r="E80" s="41" t="s">
        <v>140</v>
      </c>
      <c r="F80" s="41" t="s">
        <v>140</v>
      </c>
      <c r="G80" s="13" t="s">
        <v>30</v>
      </c>
      <c r="H80" s="41" t="s">
        <v>140</v>
      </c>
      <c r="I80" s="59" t="s">
        <v>140</v>
      </c>
      <c r="J80" s="13"/>
      <c r="L80" s="2"/>
    </row>
    <row r="81" spans="1:12" ht="46.5" customHeight="1" x14ac:dyDescent="0.25">
      <c r="A81" s="9"/>
      <c r="B81" s="8"/>
      <c r="C81" s="4"/>
      <c r="D81" s="15" t="s">
        <v>111</v>
      </c>
      <c r="E81" s="41" t="s">
        <v>140</v>
      </c>
      <c r="F81" s="41" t="s">
        <v>140</v>
      </c>
      <c r="G81" s="13" t="s">
        <v>30</v>
      </c>
      <c r="H81" s="41" t="s">
        <v>140</v>
      </c>
      <c r="I81" s="59" t="s">
        <v>140</v>
      </c>
      <c r="J81" s="13"/>
      <c r="L81" s="2"/>
    </row>
    <row r="82" spans="1:12" ht="46.5" customHeight="1" x14ac:dyDescent="0.25">
      <c r="A82" s="9"/>
      <c r="B82" s="8"/>
      <c r="C82" s="4"/>
      <c r="D82" s="15" t="s">
        <v>155</v>
      </c>
      <c r="E82" s="41" t="s">
        <v>140</v>
      </c>
      <c r="F82" s="41">
        <f>6+2+8</f>
        <v>16</v>
      </c>
      <c r="G82" s="13" t="s">
        <v>31</v>
      </c>
      <c r="H82" s="44">
        <f>(7924.6+2800.8+11195.6)/F82</f>
        <v>1370.0625</v>
      </c>
      <c r="I82" s="59">
        <f>F82*H82</f>
        <v>21921</v>
      </c>
      <c r="J82" s="13" t="s">
        <v>122</v>
      </c>
      <c r="L82" s="2"/>
    </row>
    <row r="83" spans="1:12" ht="46.5" customHeight="1" x14ac:dyDescent="0.25">
      <c r="A83" s="9"/>
      <c r="B83" s="8"/>
      <c r="C83" s="4"/>
      <c r="D83" s="15" t="s">
        <v>179</v>
      </c>
      <c r="E83" s="41" t="s">
        <v>140</v>
      </c>
      <c r="F83" s="41" t="s">
        <v>140</v>
      </c>
      <c r="G83" s="13" t="s">
        <v>31</v>
      </c>
      <c r="H83" s="41" t="s">
        <v>140</v>
      </c>
      <c r="I83" s="59" t="s">
        <v>140</v>
      </c>
      <c r="J83" s="13"/>
      <c r="L83" s="2"/>
    </row>
    <row r="84" spans="1:12" ht="46.5" customHeight="1" x14ac:dyDescent="0.25">
      <c r="A84" s="9"/>
      <c r="B84" s="8"/>
      <c r="C84" s="4"/>
      <c r="D84" s="15" t="s">
        <v>180</v>
      </c>
      <c r="E84" s="41" t="s">
        <v>140</v>
      </c>
      <c r="F84" s="41" t="s">
        <v>140</v>
      </c>
      <c r="G84" s="13" t="s">
        <v>31</v>
      </c>
      <c r="H84" s="41" t="s">
        <v>140</v>
      </c>
      <c r="I84" s="59" t="s">
        <v>140</v>
      </c>
      <c r="J84" s="13"/>
      <c r="L84" s="2"/>
    </row>
    <row r="85" spans="1:12" ht="46.5" customHeight="1" x14ac:dyDescent="0.25">
      <c r="A85" s="9"/>
      <c r="B85" s="8"/>
      <c r="C85" s="4"/>
      <c r="D85" s="15" t="s">
        <v>154</v>
      </c>
      <c r="E85" s="41" t="s">
        <v>140</v>
      </c>
      <c r="F85" s="41" t="s">
        <v>140</v>
      </c>
      <c r="G85" s="13" t="s">
        <v>31</v>
      </c>
      <c r="H85" s="41" t="s">
        <v>140</v>
      </c>
      <c r="I85" s="59" t="s">
        <v>140</v>
      </c>
      <c r="J85" s="13"/>
      <c r="L85" s="2"/>
    </row>
    <row r="86" spans="1:12" ht="46.5" customHeight="1" x14ac:dyDescent="0.25">
      <c r="A86" s="9"/>
      <c r="B86" s="8"/>
      <c r="C86" s="4"/>
      <c r="D86" s="15" t="s">
        <v>181</v>
      </c>
      <c r="E86" s="41" t="s">
        <v>140</v>
      </c>
      <c r="F86" s="41" t="s">
        <v>140</v>
      </c>
      <c r="G86" s="13" t="s">
        <v>31</v>
      </c>
      <c r="H86" s="41" t="s">
        <v>140</v>
      </c>
      <c r="I86" s="59" t="s">
        <v>140</v>
      </c>
      <c r="J86" s="13"/>
      <c r="L86" s="2"/>
    </row>
    <row r="87" spans="1:12" ht="46.5" customHeight="1" x14ac:dyDescent="0.25">
      <c r="A87" s="9"/>
      <c r="B87" s="8"/>
      <c r="C87" s="4"/>
      <c r="D87" s="15" t="s">
        <v>182</v>
      </c>
      <c r="E87" s="41" t="s">
        <v>140</v>
      </c>
      <c r="F87" s="41" t="s">
        <v>140</v>
      </c>
      <c r="G87" s="13" t="s">
        <v>31</v>
      </c>
      <c r="H87" s="41" t="s">
        <v>140</v>
      </c>
      <c r="I87" s="59" t="s">
        <v>140</v>
      </c>
      <c r="J87" s="13"/>
      <c r="L87" s="2"/>
    </row>
    <row r="88" spans="1:12" ht="46.5" customHeight="1" x14ac:dyDescent="0.25">
      <c r="A88" s="9"/>
      <c r="B88" s="8"/>
      <c r="C88" s="4"/>
      <c r="D88" s="15" t="s">
        <v>156</v>
      </c>
      <c r="E88" s="41" t="s">
        <v>140</v>
      </c>
      <c r="F88" s="41">
        <f>3</f>
        <v>3</v>
      </c>
      <c r="G88" s="13" t="s">
        <v>31</v>
      </c>
      <c r="H88" s="44">
        <f>6575.2/F88</f>
        <v>2191.7333333333331</v>
      </c>
      <c r="I88" s="59">
        <f>F88*H88</f>
        <v>6575.1999999999989</v>
      </c>
      <c r="J88" s="13" t="s">
        <v>146</v>
      </c>
      <c r="L88" s="2"/>
    </row>
    <row r="89" spans="1:12" ht="46.5" customHeight="1" x14ac:dyDescent="0.25">
      <c r="A89" s="9"/>
      <c r="B89" s="8"/>
      <c r="C89" s="4"/>
      <c r="D89" s="15" t="s">
        <v>187</v>
      </c>
      <c r="E89" s="41" t="s">
        <v>140</v>
      </c>
      <c r="F89" s="41" t="s">
        <v>140</v>
      </c>
      <c r="G89" s="13" t="s">
        <v>30</v>
      </c>
      <c r="H89" s="41" t="s">
        <v>140</v>
      </c>
      <c r="I89" s="59" t="s">
        <v>140</v>
      </c>
      <c r="J89" s="13"/>
      <c r="L89" s="2"/>
    </row>
    <row r="90" spans="1:12" ht="46.5" customHeight="1" x14ac:dyDescent="0.25">
      <c r="A90" s="9"/>
      <c r="B90" s="8"/>
      <c r="C90" s="4"/>
      <c r="D90" s="15" t="s">
        <v>188</v>
      </c>
      <c r="E90" s="41" t="s">
        <v>140</v>
      </c>
      <c r="F90" s="41">
        <v>0.5</v>
      </c>
      <c r="G90" s="13" t="s">
        <v>30</v>
      </c>
      <c r="H90" s="41">
        <f>744/F90</f>
        <v>1488</v>
      </c>
      <c r="I90" s="59">
        <f>F90*H90</f>
        <v>744</v>
      </c>
      <c r="J90" s="13" t="s">
        <v>117</v>
      </c>
      <c r="L90" s="2"/>
    </row>
    <row r="91" spans="1:12" ht="46.5" customHeight="1" x14ac:dyDescent="0.25">
      <c r="A91" s="9"/>
      <c r="B91" s="8"/>
      <c r="C91" s="4"/>
      <c r="D91" s="15" t="s">
        <v>168</v>
      </c>
      <c r="E91" s="41" t="s">
        <v>140</v>
      </c>
      <c r="F91" s="41" t="s">
        <v>140</v>
      </c>
      <c r="G91" s="13" t="s">
        <v>152</v>
      </c>
      <c r="H91" s="41" t="s">
        <v>140</v>
      </c>
      <c r="I91" s="59" t="s">
        <v>140</v>
      </c>
      <c r="J91" s="13"/>
      <c r="L91" s="2"/>
    </row>
    <row r="92" spans="1:12" ht="46.5" customHeight="1" x14ac:dyDescent="0.25">
      <c r="A92" s="9"/>
      <c r="B92" s="8"/>
      <c r="C92" s="4"/>
      <c r="D92" s="15" t="s">
        <v>167</v>
      </c>
      <c r="E92" s="41" t="s">
        <v>140</v>
      </c>
      <c r="F92" s="41">
        <f>4</f>
        <v>4</v>
      </c>
      <c r="G92" s="13" t="s">
        <v>152</v>
      </c>
      <c r="H92" s="41">
        <f>27276.6/F92</f>
        <v>6819.15</v>
      </c>
      <c r="I92" s="59">
        <f>F92*H92</f>
        <v>27276.6</v>
      </c>
      <c r="J92" s="13" t="s">
        <v>120</v>
      </c>
      <c r="L92" s="2"/>
    </row>
    <row r="93" spans="1:12" ht="46.5" customHeight="1" x14ac:dyDescent="0.25">
      <c r="A93" s="9"/>
      <c r="B93" s="8"/>
      <c r="C93" s="4"/>
      <c r="D93" s="15" t="s">
        <v>170</v>
      </c>
      <c r="E93" s="41" t="s">
        <v>140</v>
      </c>
      <c r="F93" s="41">
        <f>11+20.5+10+10.5</f>
        <v>52</v>
      </c>
      <c r="G93" s="13" t="s">
        <v>30</v>
      </c>
      <c r="H93" s="44">
        <f>(3686.4+7086.6+3457.2+3623.4)/F93</f>
        <v>343.33846153846156</v>
      </c>
      <c r="I93" s="59">
        <f t="shared" ref="I93:I99" si="5">F93*H93</f>
        <v>17853.600000000002</v>
      </c>
      <c r="J93" s="13" t="s">
        <v>117</v>
      </c>
      <c r="L93" s="2"/>
    </row>
    <row r="94" spans="1:12" ht="84.75" customHeight="1" x14ac:dyDescent="0.25">
      <c r="A94" s="9"/>
      <c r="B94" s="8"/>
      <c r="C94" s="4"/>
      <c r="D94" s="15" t="s">
        <v>242</v>
      </c>
      <c r="E94" s="41" t="s">
        <v>140</v>
      </c>
      <c r="F94" s="41">
        <f>2+6+20+3</f>
        <v>31</v>
      </c>
      <c r="G94" s="13" t="s">
        <v>169</v>
      </c>
      <c r="H94" s="44">
        <f>(44+141+465.8+68.4)/F94</f>
        <v>23.2</v>
      </c>
      <c r="I94" s="59">
        <f t="shared" si="5"/>
        <v>719.19999999999993</v>
      </c>
      <c r="J94" s="13" t="s">
        <v>117</v>
      </c>
      <c r="L94" s="2"/>
    </row>
    <row r="95" spans="1:12" ht="63.75" customHeight="1" x14ac:dyDescent="0.25">
      <c r="A95" s="9"/>
      <c r="B95" s="8"/>
      <c r="C95" s="4"/>
      <c r="D95" s="15" t="s">
        <v>243</v>
      </c>
      <c r="E95" s="41" t="s">
        <v>140</v>
      </c>
      <c r="F95" s="41">
        <f>2+5.5+10+1.5</f>
        <v>19</v>
      </c>
      <c r="G95" s="13" t="s">
        <v>30</v>
      </c>
      <c r="H95" s="44">
        <f>(1832.8+4251.6+5397.6+419.2)/F95</f>
        <v>626.37894736842111</v>
      </c>
      <c r="I95" s="59">
        <f t="shared" si="5"/>
        <v>11901.2</v>
      </c>
      <c r="J95" s="13" t="s">
        <v>117</v>
      </c>
      <c r="L95" s="2"/>
    </row>
    <row r="96" spans="1:12" ht="84" customHeight="1" x14ac:dyDescent="0.25">
      <c r="A96" s="9"/>
      <c r="B96" s="8"/>
      <c r="C96" s="4"/>
      <c r="D96" s="15" t="s">
        <v>171</v>
      </c>
      <c r="E96" s="41" t="s">
        <v>140</v>
      </c>
      <c r="F96" s="41">
        <f>16+16+11</f>
        <v>43</v>
      </c>
      <c r="G96" s="13" t="s">
        <v>169</v>
      </c>
      <c r="H96" s="44">
        <f>(301.4+551.6+378)/F96</f>
        <v>28.627906976744185</v>
      </c>
      <c r="I96" s="59">
        <f t="shared" si="5"/>
        <v>1231</v>
      </c>
      <c r="J96" s="13" t="s">
        <v>117</v>
      </c>
      <c r="L96" s="2"/>
    </row>
    <row r="97" spans="1:12" ht="63.75" customHeight="1" x14ac:dyDescent="0.25">
      <c r="A97" s="9"/>
      <c r="B97" s="8"/>
      <c r="C97" s="4"/>
      <c r="D97" s="15" t="s">
        <v>244</v>
      </c>
      <c r="E97" s="41" t="s">
        <v>140</v>
      </c>
      <c r="F97" s="41">
        <f>9+15+9</f>
        <v>33</v>
      </c>
      <c r="G97" s="13" t="s">
        <v>30</v>
      </c>
      <c r="H97" s="44">
        <f>(3976+8307.2+5346.2)/F97</f>
        <v>534.22424242424245</v>
      </c>
      <c r="I97" s="59">
        <f t="shared" si="5"/>
        <v>17629.400000000001</v>
      </c>
      <c r="J97" s="13" t="s">
        <v>117</v>
      </c>
      <c r="L97" s="2"/>
    </row>
    <row r="98" spans="1:12" ht="46.5" customHeight="1" x14ac:dyDescent="0.25">
      <c r="A98" s="9"/>
      <c r="B98" s="8"/>
      <c r="C98" s="4"/>
      <c r="D98" s="15" t="s">
        <v>224</v>
      </c>
      <c r="E98" s="41" t="s">
        <v>140</v>
      </c>
      <c r="F98" s="41">
        <v>3</v>
      </c>
      <c r="G98" s="13" t="s">
        <v>31</v>
      </c>
      <c r="H98" s="41">
        <f>7973.4/F98</f>
        <v>2657.7999999999997</v>
      </c>
      <c r="I98" s="59">
        <f t="shared" si="5"/>
        <v>7973.4</v>
      </c>
      <c r="J98" s="13" t="s">
        <v>146</v>
      </c>
      <c r="L98" s="2"/>
    </row>
    <row r="99" spans="1:12" ht="46.5" customHeight="1" x14ac:dyDescent="0.25">
      <c r="A99" s="9"/>
      <c r="B99" s="8"/>
      <c r="C99" s="4"/>
      <c r="D99" s="15" t="s">
        <v>186</v>
      </c>
      <c r="E99" s="41" t="s">
        <v>140</v>
      </c>
      <c r="F99" s="41">
        <f>1</f>
        <v>1</v>
      </c>
      <c r="G99" s="13" t="s">
        <v>150</v>
      </c>
      <c r="H99" s="41">
        <f>524.2/F99</f>
        <v>524.20000000000005</v>
      </c>
      <c r="I99" s="59">
        <f t="shared" si="5"/>
        <v>524.20000000000005</v>
      </c>
      <c r="J99" s="13" t="s">
        <v>120</v>
      </c>
      <c r="L99" s="2"/>
    </row>
    <row r="100" spans="1:12" ht="31.5" x14ac:dyDescent="0.25">
      <c r="A100" s="9" t="s">
        <v>81</v>
      </c>
      <c r="B100" s="8"/>
      <c r="C100" s="4"/>
      <c r="D100" s="15" t="s">
        <v>158</v>
      </c>
      <c r="E100" s="41" t="s">
        <v>140</v>
      </c>
      <c r="F100" s="41" t="s">
        <v>140</v>
      </c>
      <c r="G100" s="13" t="s">
        <v>52</v>
      </c>
      <c r="H100" s="41" t="s">
        <v>140</v>
      </c>
      <c r="I100" s="59" t="s">
        <v>140</v>
      </c>
      <c r="J100" s="13"/>
      <c r="L100" s="2"/>
    </row>
    <row r="101" spans="1:12" ht="31.5" x14ac:dyDescent="0.25">
      <c r="A101" s="9"/>
      <c r="B101" s="8"/>
      <c r="C101" s="4"/>
      <c r="D101" s="15" t="s">
        <v>159</v>
      </c>
      <c r="E101" s="41" t="s">
        <v>140</v>
      </c>
      <c r="F101" s="41" t="s">
        <v>140</v>
      </c>
      <c r="G101" s="13" t="s">
        <v>52</v>
      </c>
      <c r="H101" s="41" t="s">
        <v>140</v>
      </c>
      <c r="I101" s="59" t="s">
        <v>140</v>
      </c>
      <c r="J101" s="13"/>
      <c r="L101" s="2"/>
    </row>
    <row r="102" spans="1:12" ht="18.75" x14ac:dyDescent="0.25">
      <c r="A102" s="9"/>
      <c r="B102" s="8"/>
      <c r="C102" s="4"/>
      <c r="D102" s="15" t="s">
        <v>185</v>
      </c>
      <c r="E102" s="41" t="s">
        <v>140</v>
      </c>
      <c r="F102" s="41">
        <f>16+4</f>
        <v>20</v>
      </c>
      <c r="G102" s="13" t="s">
        <v>31</v>
      </c>
      <c r="H102" s="44">
        <f>(22629+5042.8)/F102</f>
        <v>1383.59</v>
      </c>
      <c r="I102" s="59">
        <f>F102*H102</f>
        <v>27671.8</v>
      </c>
      <c r="J102" s="13" t="s">
        <v>117</v>
      </c>
      <c r="L102" s="2"/>
    </row>
    <row r="103" spans="1:12" ht="18.75" x14ac:dyDescent="0.25">
      <c r="A103" s="9"/>
      <c r="B103" s="8"/>
      <c r="C103" s="4"/>
      <c r="D103" s="15" t="s">
        <v>133</v>
      </c>
      <c r="E103" s="41" t="s">
        <v>140</v>
      </c>
      <c r="F103" s="41">
        <f>2</f>
        <v>2</v>
      </c>
      <c r="G103" s="13" t="s">
        <v>31</v>
      </c>
      <c r="H103" s="41">
        <f>2372.4/F103</f>
        <v>1186.2</v>
      </c>
      <c r="I103" s="59">
        <f>F103*H103</f>
        <v>2372.4</v>
      </c>
      <c r="J103" s="13" t="s">
        <v>117</v>
      </c>
      <c r="L103" s="2"/>
    </row>
    <row r="104" spans="1:12" ht="18.75" x14ac:dyDescent="0.25">
      <c r="A104" s="9"/>
      <c r="B104" s="8"/>
      <c r="C104" s="4"/>
      <c r="D104" s="15" t="s">
        <v>149</v>
      </c>
      <c r="E104" s="41" t="s">
        <v>140</v>
      </c>
      <c r="F104" s="41" t="s">
        <v>140</v>
      </c>
      <c r="G104" s="13" t="s">
        <v>31</v>
      </c>
      <c r="H104" s="41" t="s">
        <v>140</v>
      </c>
      <c r="I104" s="59" t="s">
        <v>140</v>
      </c>
      <c r="J104" s="13"/>
      <c r="L104" s="2"/>
    </row>
    <row r="105" spans="1:12" ht="31.5" x14ac:dyDescent="0.25">
      <c r="A105" s="9"/>
      <c r="B105" s="8"/>
      <c r="C105" s="4"/>
      <c r="D105" s="15" t="s">
        <v>203</v>
      </c>
      <c r="E105" s="41"/>
      <c r="F105" s="41"/>
      <c r="G105" s="13" t="s">
        <v>169</v>
      </c>
      <c r="H105" s="41"/>
      <c r="I105" s="59"/>
      <c r="J105" s="13"/>
      <c r="L105" s="2"/>
    </row>
    <row r="106" spans="1:12" ht="31.5" x14ac:dyDescent="0.25">
      <c r="A106" s="9"/>
      <c r="B106" s="8"/>
      <c r="C106" s="4"/>
      <c r="D106" s="15" t="s">
        <v>204</v>
      </c>
      <c r="E106" s="41"/>
      <c r="F106" s="41"/>
      <c r="G106" s="13" t="s">
        <v>144</v>
      </c>
      <c r="H106" s="41"/>
      <c r="I106" s="61"/>
      <c r="J106" s="13"/>
      <c r="L106" s="2"/>
    </row>
    <row r="107" spans="1:12" ht="18.75" x14ac:dyDescent="0.25">
      <c r="A107" s="9"/>
      <c r="B107" s="8"/>
      <c r="C107" s="4"/>
      <c r="D107" s="15" t="s">
        <v>160</v>
      </c>
      <c r="E107" s="41" t="s">
        <v>140</v>
      </c>
      <c r="F107" s="41" t="s">
        <v>140</v>
      </c>
      <c r="G107" s="13" t="s">
        <v>161</v>
      </c>
      <c r="H107" s="41" t="s">
        <v>140</v>
      </c>
      <c r="I107" s="59" t="s">
        <v>140</v>
      </c>
      <c r="J107" s="13"/>
      <c r="L107" s="2"/>
    </row>
    <row r="108" spans="1:12" ht="18.75" x14ac:dyDescent="0.25">
      <c r="A108" s="9" t="s">
        <v>20</v>
      </c>
      <c r="B108" s="8"/>
      <c r="C108" s="4"/>
      <c r="D108" s="15" t="s">
        <v>66</v>
      </c>
      <c r="E108" s="41" t="s">
        <v>140</v>
      </c>
      <c r="F108" s="41" t="s">
        <v>140</v>
      </c>
      <c r="G108" s="13" t="s">
        <v>30</v>
      </c>
      <c r="H108" s="41" t="s">
        <v>140</v>
      </c>
      <c r="I108" s="59" t="s">
        <v>140</v>
      </c>
      <c r="J108" s="13"/>
      <c r="L108" s="2"/>
    </row>
    <row r="109" spans="1:12" ht="31.5" x14ac:dyDescent="0.25">
      <c r="A109" s="9" t="s">
        <v>21</v>
      </c>
      <c r="B109" s="8"/>
      <c r="C109" s="4"/>
      <c r="D109" s="15" t="s">
        <v>68</v>
      </c>
      <c r="E109" s="41" t="s">
        <v>140</v>
      </c>
      <c r="F109" s="41" t="s">
        <v>140</v>
      </c>
      <c r="G109" s="13" t="s">
        <v>52</v>
      </c>
      <c r="H109" s="41" t="s">
        <v>140</v>
      </c>
      <c r="I109" s="59" t="s">
        <v>140</v>
      </c>
      <c r="J109" s="13"/>
      <c r="L109" s="2"/>
    </row>
    <row r="110" spans="1:12" ht="18.75" x14ac:dyDescent="0.25">
      <c r="A110" s="46"/>
      <c r="B110" s="47"/>
      <c r="C110" s="22"/>
      <c r="D110" s="30"/>
      <c r="E110" s="45"/>
      <c r="F110" s="45"/>
      <c r="G110" s="31"/>
      <c r="H110" s="41"/>
      <c r="I110" s="61">
        <f>SUM(I79:I109)</f>
        <v>238876.80000000002</v>
      </c>
      <c r="J110" s="13"/>
      <c r="L110" s="2"/>
    </row>
    <row r="111" spans="1:12" ht="18.75" x14ac:dyDescent="0.3">
      <c r="A111" s="73" t="s">
        <v>69</v>
      </c>
      <c r="B111" s="74"/>
      <c r="C111" s="74"/>
      <c r="D111" s="74"/>
      <c r="E111" s="74"/>
      <c r="F111" s="74"/>
      <c r="G111" s="75"/>
      <c r="H111" s="19"/>
      <c r="I111" s="64"/>
      <c r="J111" s="13"/>
      <c r="L111" s="2"/>
    </row>
    <row r="112" spans="1:12" ht="37.5" x14ac:dyDescent="0.25">
      <c r="A112" s="9" t="s">
        <v>90</v>
      </c>
      <c r="B112" s="8"/>
      <c r="C112" s="4"/>
      <c r="D112" s="4" t="s">
        <v>128</v>
      </c>
      <c r="E112" s="31"/>
      <c r="F112" s="13">
        <f>18+27+4+7+4+4+4+4+10+10+4+10</f>
        <v>106</v>
      </c>
      <c r="G112" s="13" t="s">
        <v>114</v>
      </c>
      <c r="H112" s="33">
        <f>(11370.8+17057.2+2527.8+4521.4+2584.8+2584.8+2653.4+2653.4+6629.8+6839+2737+6839)/F112/3</f>
        <v>216.97610062893082</v>
      </c>
      <c r="I112" s="60">
        <f>F112*H112</f>
        <v>22999.466666666667</v>
      </c>
      <c r="J112" s="13" t="s">
        <v>115</v>
      </c>
      <c r="L112" s="2"/>
    </row>
    <row r="113" spans="1:12" ht="18.75" x14ac:dyDescent="0.25">
      <c r="A113" s="9"/>
      <c r="B113" s="8"/>
      <c r="C113" s="4"/>
      <c r="D113" s="15" t="s">
        <v>149</v>
      </c>
      <c r="E113" s="41" t="s">
        <v>140</v>
      </c>
      <c r="F113" s="41" t="s">
        <v>140</v>
      </c>
      <c r="G113" s="13" t="s">
        <v>31</v>
      </c>
      <c r="H113" s="41" t="s">
        <v>140</v>
      </c>
      <c r="I113" s="59" t="s">
        <v>140</v>
      </c>
      <c r="J113" s="13"/>
      <c r="L113" s="2"/>
    </row>
    <row r="114" spans="1:12" ht="31.5" x14ac:dyDescent="0.25">
      <c r="A114" s="9"/>
      <c r="B114" s="8"/>
      <c r="C114" s="4"/>
      <c r="D114" s="15" t="s">
        <v>168</v>
      </c>
      <c r="E114" s="41" t="s">
        <v>140</v>
      </c>
      <c r="F114" s="41" t="s">
        <v>140</v>
      </c>
      <c r="G114" s="13" t="s">
        <v>152</v>
      </c>
      <c r="H114" s="41" t="s">
        <v>140</v>
      </c>
      <c r="I114" s="59" t="s">
        <v>140</v>
      </c>
      <c r="J114" s="13"/>
      <c r="L114" s="2"/>
    </row>
    <row r="115" spans="1:12" ht="31.5" x14ac:dyDescent="0.25">
      <c r="A115" s="9"/>
      <c r="B115" s="8"/>
      <c r="C115" s="4"/>
      <c r="D115" s="15" t="s">
        <v>190</v>
      </c>
      <c r="E115" s="41" t="s">
        <v>140</v>
      </c>
      <c r="F115" s="41" t="s">
        <v>140</v>
      </c>
      <c r="G115" s="13" t="s">
        <v>30</v>
      </c>
      <c r="H115" s="41" t="s">
        <v>140</v>
      </c>
      <c r="I115" s="59" t="s">
        <v>140</v>
      </c>
      <c r="J115" s="13"/>
      <c r="L115" s="2"/>
    </row>
    <row r="116" spans="1:12" ht="78.75" x14ac:dyDescent="0.25">
      <c r="A116" s="9"/>
      <c r="B116" s="8"/>
      <c r="C116" s="4"/>
      <c r="D116" s="15" t="s">
        <v>191</v>
      </c>
      <c r="E116" s="41" t="s">
        <v>140</v>
      </c>
      <c r="F116" s="41" t="s">
        <v>140</v>
      </c>
      <c r="G116" s="13" t="s">
        <v>169</v>
      </c>
      <c r="H116" s="41" t="s">
        <v>140</v>
      </c>
      <c r="I116" s="59" t="s">
        <v>140</v>
      </c>
      <c r="J116" s="13"/>
      <c r="L116" s="2"/>
    </row>
    <row r="117" spans="1:12" ht="47.25" x14ac:dyDescent="0.25">
      <c r="A117" s="9"/>
      <c r="B117" s="8"/>
      <c r="C117" s="4"/>
      <c r="D117" s="15" t="s">
        <v>192</v>
      </c>
      <c r="E117" s="41" t="s">
        <v>140</v>
      </c>
      <c r="F117" s="41" t="s">
        <v>140</v>
      </c>
      <c r="G117" s="13" t="s">
        <v>30</v>
      </c>
      <c r="H117" s="41" t="s">
        <v>140</v>
      </c>
      <c r="I117" s="59" t="s">
        <v>140</v>
      </c>
      <c r="J117" s="13"/>
      <c r="L117" s="2"/>
    </row>
    <row r="118" spans="1:12" ht="31.5" x14ac:dyDescent="0.25">
      <c r="A118" s="9"/>
      <c r="B118" s="8"/>
      <c r="C118" s="4"/>
      <c r="D118" s="15" t="s">
        <v>189</v>
      </c>
      <c r="E118" s="41" t="s">
        <v>140</v>
      </c>
      <c r="F118" s="41" t="s">
        <v>140</v>
      </c>
      <c r="G118" s="13" t="s">
        <v>152</v>
      </c>
      <c r="H118" s="41" t="s">
        <v>140</v>
      </c>
      <c r="I118" s="59" t="s">
        <v>140</v>
      </c>
      <c r="J118" s="13"/>
      <c r="L118" s="2"/>
    </row>
    <row r="119" spans="1:12" ht="18.75" x14ac:dyDescent="0.25">
      <c r="A119" s="9"/>
      <c r="B119" s="8"/>
      <c r="C119" s="4"/>
      <c r="D119" s="15" t="s">
        <v>133</v>
      </c>
      <c r="E119" s="41" t="s">
        <v>140</v>
      </c>
      <c r="F119" s="41">
        <f>23</f>
        <v>23</v>
      </c>
      <c r="G119" s="13" t="s">
        <v>31</v>
      </c>
      <c r="H119" s="44">
        <f>27294.8/F119</f>
        <v>1186.7304347826087</v>
      </c>
      <c r="I119" s="59">
        <f>F119*H119</f>
        <v>27294.799999999999</v>
      </c>
      <c r="J119" s="13"/>
      <c r="L119" s="2"/>
    </row>
    <row r="120" spans="1:12" ht="18.75" x14ac:dyDescent="0.25">
      <c r="A120" s="9"/>
      <c r="B120" s="8"/>
      <c r="C120" s="4"/>
      <c r="D120" s="15" t="s">
        <v>225</v>
      </c>
      <c r="E120" s="41" t="s">
        <v>140</v>
      </c>
      <c r="F120" s="41">
        <f>3</f>
        <v>3</v>
      </c>
      <c r="G120" s="13" t="s">
        <v>30</v>
      </c>
      <c r="H120" s="41">
        <f>5093.4/F120</f>
        <v>1697.8</v>
      </c>
      <c r="I120" s="59">
        <f>F120*H120</f>
        <v>5093.3999999999996</v>
      </c>
      <c r="J120" s="13" t="s">
        <v>146</v>
      </c>
      <c r="L120" s="2"/>
    </row>
    <row r="121" spans="1:12" ht="18.75" x14ac:dyDescent="0.25">
      <c r="A121" s="9" t="s">
        <v>81</v>
      </c>
      <c r="B121" s="8"/>
      <c r="C121" s="4"/>
      <c r="D121" s="15" t="s">
        <v>67</v>
      </c>
      <c r="E121" s="41" t="s">
        <v>140</v>
      </c>
      <c r="F121" s="41" t="s">
        <v>140</v>
      </c>
      <c r="G121" s="13" t="s">
        <v>52</v>
      </c>
      <c r="H121" s="41" t="s">
        <v>140</v>
      </c>
      <c r="I121" s="59" t="s">
        <v>140</v>
      </c>
      <c r="J121" s="13"/>
      <c r="L121" s="2"/>
    </row>
    <row r="122" spans="1:12" ht="18.75" x14ac:dyDescent="0.25">
      <c r="A122" s="9"/>
      <c r="B122" s="8"/>
      <c r="C122" s="4"/>
      <c r="D122" s="15" t="s">
        <v>237</v>
      </c>
      <c r="E122" s="41"/>
      <c r="F122" s="41">
        <f>6</f>
        <v>6</v>
      </c>
      <c r="G122" s="13" t="s">
        <v>52</v>
      </c>
      <c r="H122" s="41">
        <f>6999/F122</f>
        <v>1166.5</v>
      </c>
      <c r="I122" s="59">
        <f>F122*H122</f>
        <v>6999</v>
      </c>
      <c r="J122" s="13"/>
      <c r="L122" s="2"/>
    </row>
    <row r="123" spans="1:12" ht="18.75" x14ac:dyDescent="0.25">
      <c r="A123" s="9"/>
      <c r="B123" s="8"/>
      <c r="C123" s="4"/>
      <c r="D123" s="15" t="s">
        <v>202</v>
      </c>
      <c r="E123" s="41"/>
      <c r="F123" s="41"/>
      <c r="G123" s="13" t="s">
        <v>31</v>
      </c>
      <c r="H123" s="41">
        <v>5853.5</v>
      </c>
      <c r="I123" s="59">
        <f>F123*H123</f>
        <v>0</v>
      </c>
      <c r="J123" s="13" t="s">
        <v>117</v>
      </c>
      <c r="L123" s="2"/>
    </row>
    <row r="124" spans="1:12" ht="31.5" x14ac:dyDescent="0.25">
      <c r="A124" s="9" t="s">
        <v>21</v>
      </c>
      <c r="B124" s="8"/>
      <c r="C124" s="4"/>
      <c r="D124" s="15" t="s">
        <v>68</v>
      </c>
      <c r="E124" s="41" t="s">
        <v>140</v>
      </c>
      <c r="F124" s="41" t="s">
        <v>140</v>
      </c>
      <c r="G124" s="13" t="s">
        <v>143</v>
      </c>
      <c r="H124" s="41" t="s">
        <v>140</v>
      </c>
      <c r="I124" s="59" t="s">
        <v>140</v>
      </c>
      <c r="J124" s="13"/>
      <c r="L124" s="2"/>
    </row>
    <row r="125" spans="1:12" ht="18.75" x14ac:dyDescent="0.25">
      <c r="A125" s="46"/>
      <c r="B125" s="47"/>
      <c r="C125" s="22"/>
      <c r="D125" s="30"/>
      <c r="E125" s="45"/>
      <c r="F125" s="45"/>
      <c r="G125" s="31"/>
      <c r="H125" s="41"/>
      <c r="I125" s="61">
        <f>SUM(I112:I124)</f>
        <v>62386.666666666664</v>
      </c>
      <c r="J125" s="13"/>
      <c r="L125" s="2"/>
    </row>
    <row r="126" spans="1:12" ht="18.75" x14ac:dyDescent="0.3">
      <c r="A126" s="73" t="s">
        <v>70</v>
      </c>
      <c r="B126" s="74"/>
      <c r="C126" s="74"/>
      <c r="D126" s="74"/>
      <c r="E126" s="74"/>
      <c r="F126" s="74"/>
      <c r="G126" s="75"/>
      <c r="H126" s="13"/>
      <c r="I126" s="64"/>
      <c r="J126" s="13"/>
      <c r="L126" s="2"/>
    </row>
    <row r="127" spans="1:12" ht="37.5" x14ac:dyDescent="0.25">
      <c r="A127" s="9" t="s">
        <v>90</v>
      </c>
      <c r="B127" s="8"/>
      <c r="C127" s="4"/>
      <c r="D127" s="4" t="s">
        <v>129</v>
      </c>
      <c r="E127" s="31"/>
      <c r="F127" s="13">
        <f>18+27+4+7+4+4+4+4+10+10+4+10</f>
        <v>106</v>
      </c>
      <c r="G127" s="13" t="s">
        <v>114</v>
      </c>
      <c r="H127" s="33">
        <f>(11370.8+17057.2+2527.8+4521.4+2584.8+2584.8+2653.4+2653.4+6629.8+6839+2737+6839)/F127/3</f>
        <v>216.97610062893082</v>
      </c>
      <c r="I127" s="60">
        <f>F127*H127</f>
        <v>22999.466666666667</v>
      </c>
      <c r="J127" s="13" t="s">
        <v>115</v>
      </c>
      <c r="L127" s="2"/>
    </row>
    <row r="128" spans="1:12" ht="31.5" x14ac:dyDescent="0.25">
      <c r="A128" s="9"/>
      <c r="B128" s="8"/>
      <c r="C128" s="4"/>
      <c r="D128" s="15" t="s">
        <v>170</v>
      </c>
      <c r="E128" s="41" t="s">
        <v>140</v>
      </c>
      <c r="F128" s="41" t="s">
        <v>140</v>
      </c>
      <c r="G128" s="13" t="s">
        <v>30</v>
      </c>
      <c r="H128" s="41" t="s">
        <v>140</v>
      </c>
      <c r="I128" s="59" t="s">
        <v>140</v>
      </c>
      <c r="J128" s="13"/>
      <c r="L128" s="2"/>
    </row>
    <row r="129" spans="1:12" ht="78.75" x14ac:dyDescent="0.25">
      <c r="A129" s="9"/>
      <c r="B129" s="8"/>
      <c r="C129" s="4"/>
      <c r="D129" s="15" t="s">
        <v>171</v>
      </c>
      <c r="E129" s="41" t="s">
        <v>140</v>
      </c>
      <c r="F129" s="41" t="s">
        <v>140</v>
      </c>
      <c r="G129" s="13" t="s">
        <v>169</v>
      </c>
      <c r="H129" s="41" t="s">
        <v>140</v>
      </c>
      <c r="I129" s="59" t="s">
        <v>140</v>
      </c>
      <c r="J129" s="13"/>
      <c r="L129" s="2"/>
    </row>
    <row r="130" spans="1:12" ht="47.25" x14ac:dyDescent="0.25">
      <c r="A130" s="9"/>
      <c r="B130" s="8"/>
      <c r="C130" s="4"/>
      <c r="D130" s="15" t="s">
        <v>151</v>
      </c>
      <c r="E130" s="41" t="s">
        <v>140</v>
      </c>
      <c r="F130" s="41" t="s">
        <v>140</v>
      </c>
      <c r="G130" s="13" t="s">
        <v>30</v>
      </c>
      <c r="H130" s="41" t="s">
        <v>140</v>
      </c>
      <c r="I130" s="59" t="s">
        <v>140</v>
      </c>
      <c r="J130" s="13"/>
      <c r="L130" s="2"/>
    </row>
    <row r="131" spans="1:12" ht="78.75" x14ac:dyDescent="0.25">
      <c r="A131" s="9"/>
      <c r="B131" s="8"/>
      <c r="C131" s="4"/>
      <c r="D131" s="15" t="s">
        <v>172</v>
      </c>
      <c r="E131" s="41" t="s">
        <v>140</v>
      </c>
      <c r="F131" s="41" t="s">
        <v>140</v>
      </c>
      <c r="G131" s="13" t="s">
        <v>169</v>
      </c>
      <c r="H131" s="41" t="s">
        <v>140</v>
      </c>
      <c r="I131" s="59" t="s">
        <v>140</v>
      </c>
      <c r="J131" s="13"/>
      <c r="L131" s="2"/>
    </row>
    <row r="132" spans="1:12" ht="47.25" x14ac:dyDescent="0.25">
      <c r="A132" s="9"/>
      <c r="B132" s="8"/>
      <c r="C132" s="4"/>
      <c r="D132" s="15" t="s">
        <v>173</v>
      </c>
      <c r="E132" s="41" t="s">
        <v>140</v>
      </c>
      <c r="F132" s="41" t="s">
        <v>140</v>
      </c>
      <c r="G132" s="13" t="s">
        <v>30</v>
      </c>
      <c r="H132" s="41" t="s">
        <v>140</v>
      </c>
      <c r="I132" s="59" t="s">
        <v>140</v>
      </c>
      <c r="J132" s="13"/>
      <c r="L132" s="2"/>
    </row>
    <row r="133" spans="1:12" ht="47.25" x14ac:dyDescent="0.25">
      <c r="A133" s="9"/>
      <c r="B133" s="8"/>
      <c r="C133" s="4"/>
      <c r="D133" s="15" t="s">
        <v>174</v>
      </c>
      <c r="E133" s="41" t="s">
        <v>140</v>
      </c>
      <c r="F133" s="41" t="s">
        <v>140</v>
      </c>
      <c r="G133" s="13" t="s">
        <v>30</v>
      </c>
      <c r="H133" s="41" t="s">
        <v>140</v>
      </c>
      <c r="I133" s="59" t="s">
        <v>140</v>
      </c>
      <c r="J133" s="13"/>
      <c r="L133" s="2"/>
    </row>
    <row r="134" spans="1:12" ht="31.5" x14ac:dyDescent="0.25">
      <c r="A134" s="9"/>
      <c r="B134" s="8"/>
      <c r="C134" s="4"/>
      <c r="D134" s="15" t="s">
        <v>175</v>
      </c>
      <c r="E134" s="41" t="s">
        <v>140</v>
      </c>
      <c r="F134" s="41" t="s">
        <v>140</v>
      </c>
      <c r="G134" s="13" t="s">
        <v>30</v>
      </c>
      <c r="H134" s="41" t="s">
        <v>140</v>
      </c>
      <c r="I134" s="59" t="s">
        <v>140</v>
      </c>
      <c r="J134" s="13"/>
      <c r="L134" s="2"/>
    </row>
    <row r="135" spans="1:12" ht="31.5" x14ac:dyDescent="0.25">
      <c r="A135" s="9"/>
      <c r="B135" s="8"/>
      <c r="C135" s="4"/>
      <c r="D135" s="15" t="s">
        <v>176</v>
      </c>
      <c r="E135" s="41" t="s">
        <v>140</v>
      </c>
      <c r="F135" s="41" t="s">
        <v>140</v>
      </c>
      <c r="G135" s="13" t="s">
        <v>30</v>
      </c>
      <c r="H135" s="41" t="s">
        <v>140</v>
      </c>
      <c r="I135" s="59" t="s">
        <v>140</v>
      </c>
      <c r="J135" s="13"/>
      <c r="L135" s="2"/>
    </row>
    <row r="136" spans="1:12" ht="31.5" x14ac:dyDescent="0.25">
      <c r="A136" s="9"/>
      <c r="B136" s="8"/>
      <c r="C136" s="4"/>
      <c r="D136" s="15" t="s">
        <v>177</v>
      </c>
      <c r="E136" s="41" t="s">
        <v>140</v>
      </c>
      <c r="F136" s="41" t="s">
        <v>140</v>
      </c>
      <c r="G136" s="13" t="s">
        <v>30</v>
      </c>
      <c r="H136" s="41" t="s">
        <v>140</v>
      </c>
      <c r="I136" s="59" t="s">
        <v>140</v>
      </c>
      <c r="J136" s="13"/>
      <c r="L136" s="2"/>
    </row>
    <row r="137" spans="1:12" ht="31.5" x14ac:dyDescent="0.25">
      <c r="A137" s="9"/>
      <c r="B137" s="8"/>
      <c r="C137" s="4"/>
      <c r="D137" s="15" t="s">
        <v>165</v>
      </c>
      <c r="E137" s="41" t="s">
        <v>140</v>
      </c>
      <c r="F137" s="41" t="s">
        <v>140</v>
      </c>
      <c r="G137" s="13" t="s">
        <v>152</v>
      </c>
      <c r="H137" s="41" t="s">
        <v>140</v>
      </c>
      <c r="I137" s="59" t="s">
        <v>140</v>
      </c>
      <c r="J137" s="13"/>
      <c r="L137" s="2"/>
    </row>
    <row r="138" spans="1:12" ht="18.75" x14ac:dyDescent="0.25">
      <c r="A138" s="9"/>
      <c r="B138" s="8"/>
      <c r="C138" s="4"/>
      <c r="D138" s="15" t="s">
        <v>186</v>
      </c>
      <c r="E138" s="41" t="s">
        <v>140</v>
      </c>
      <c r="F138" s="41" t="s">
        <v>140</v>
      </c>
      <c r="G138" s="13" t="s">
        <v>150</v>
      </c>
      <c r="H138" s="41" t="s">
        <v>140</v>
      </c>
      <c r="I138" s="59" t="s">
        <v>140</v>
      </c>
      <c r="J138" s="13"/>
      <c r="L138" s="2"/>
    </row>
    <row r="139" spans="1:12" ht="18.75" x14ac:dyDescent="0.25">
      <c r="A139" s="9"/>
      <c r="B139" s="8"/>
      <c r="C139" s="4"/>
      <c r="D139" s="15" t="s">
        <v>166</v>
      </c>
      <c r="E139" s="41" t="s">
        <v>140</v>
      </c>
      <c r="F139" s="41" t="s">
        <v>140</v>
      </c>
      <c r="G139" s="13" t="s">
        <v>150</v>
      </c>
      <c r="H139" s="41" t="s">
        <v>140</v>
      </c>
      <c r="I139" s="59" t="s">
        <v>140</v>
      </c>
      <c r="J139" s="13"/>
      <c r="L139" s="2"/>
    </row>
    <row r="140" spans="1:12" ht="18.75" x14ac:dyDescent="0.25">
      <c r="A140" s="9" t="s">
        <v>81</v>
      </c>
      <c r="B140" s="8"/>
      <c r="C140" s="4"/>
      <c r="D140" s="15" t="s">
        <v>67</v>
      </c>
      <c r="E140" s="41" t="s">
        <v>140</v>
      </c>
      <c r="F140" s="41" t="s">
        <v>140</v>
      </c>
      <c r="G140" s="14" t="s">
        <v>52</v>
      </c>
      <c r="H140" s="41" t="s">
        <v>140</v>
      </c>
      <c r="I140" s="59" t="s">
        <v>140</v>
      </c>
      <c r="J140" s="13"/>
      <c r="L140" s="2"/>
    </row>
    <row r="141" spans="1:12" ht="31.5" x14ac:dyDescent="0.25">
      <c r="A141" s="9" t="s">
        <v>21</v>
      </c>
      <c r="B141" s="8"/>
      <c r="C141" s="4"/>
      <c r="D141" s="15" t="s">
        <v>68</v>
      </c>
      <c r="E141" s="41" t="s">
        <v>140</v>
      </c>
      <c r="F141" s="41" t="s">
        <v>140</v>
      </c>
      <c r="G141" s="14" t="s">
        <v>52</v>
      </c>
      <c r="H141" s="41" t="s">
        <v>140</v>
      </c>
      <c r="I141" s="59" t="s">
        <v>140</v>
      </c>
      <c r="J141" s="13"/>
      <c r="L141" s="2"/>
    </row>
    <row r="142" spans="1:12" ht="18.75" x14ac:dyDescent="0.25">
      <c r="A142" s="46"/>
      <c r="B142" s="47"/>
      <c r="C142" s="22"/>
      <c r="D142" s="30"/>
      <c r="E142" s="45"/>
      <c r="F142" s="45"/>
      <c r="G142" s="12"/>
      <c r="H142" s="41"/>
      <c r="I142" s="61">
        <f>SUM(I127:I141)</f>
        <v>22999.466666666667</v>
      </c>
      <c r="J142" s="13"/>
      <c r="L142" s="2"/>
    </row>
    <row r="143" spans="1:12" ht="18.75" x14ac:dyDescent="0.3">
      <c r="A143" s="73" t="s">
        <v>71</v>
      </c>
      <c r="B143" s="74"/>
      <c r="C143" s="74"/>
      <c r="D143" s="74"/>
      <c r="E143" s="74"/>
      <c r="F143" s="74"/>
      <c r="G143" s="75"/>
      <c r="H143" s="19"/>
      <c r="I143" s="64"/>
      <c r="J143" s="13"/>
      <c r="L143" s="2"/>
    </row>
    <row r="144" spans="1:12" ht="37.5" x14ac:dyDescent="0.25">
      <c r="A144" s="9" t="s">
        <v>96</v>
      </c>
      <c r="B144" s="8"/>
      <c r="C144" s="4"/>
      <c r="D144" s="4" t="s">
        <v>130</v>
      </c>
      <c r="E144" s="31"/>
      <c r="F144" s="13">
        <f>18+27+4+7+4+4+4+4+10+10+4+10</f>
        <v>106</v>
      </c>
      <c r="G144" s="13" t="s">
        <v>114</v>
      </c>
      <c r="H144" s="33">
        <f>(11370.8+17057.2+2527.8+4521.4+2584.8+2584.8+2653.4+2653.4+6629.8+6839+2737+6839)/F144/3</f>
        <v>216.97610062893082</v>
      </c>
      <c r="I144" s="60">
        <f>F144*H144</f>
        <v>22999.466666666667</v>
      </c>
      <c r="J144" s="13" t="s">
        <v>115</v>
      </c>
      <c r="L144" s="2"/>
    </row>
    <row r="145" spans="1:12" ht="31.5" x14ac:dyDescent="0.25">
      <c r="A145" s="9"/>
      <c r="B145" s="8"/>
      <c r="C145" s="4"/>
      <c r="D145" s="15" t="s">
        <v>121</v>
      </c>
      <c r="E145" s="41"/>
      <c r="F145" s="41"/>
      <c r="G145" s="13" t="s">
        <v>30</v>
      </c>
      <c r="H145" s="41" t="s">
        <v>140</v>
      </c>
      <c r="I145" s="59" t="s">
        <v>140</v>
      </c>
      <c r="J145" s="13"/>
      <c r="L145" s="2"/>
    </row>
    <row r="146" spans="1:12" ht="18.75" x14ac:dyDescent="0.25">
      <c r="A146" s="9"/>
      <c r="B146" s="8"/>
      <c r="C146" s="4"/>
      <c r="D146" s="4" t="s">
        <v>113</v>
      </c>
      <c r="E146" s="41"/>
      <c r="F146" s="41">
        <f>10+4</f>
        <v>14</v>
      </c>
      <c r="G146" s="13" t="s">
        <v>30</v>
      </c>
      <c r="H146" s="44">
        <f>(3010.8+1231)/F146</f>
        <v>302.98571428571432</v>
      </c>
      <c r="I146" s="59">
        <f>F146*H146</f>
        <v>4241.8</v>
      </c>
      <c r="J146" s="13" t="s">
        <v>146</v>
      </c>
      <c r="L146" s="2"/>
    </row>
    <row r="147" spans="1:12" ht="18.75" x14ac:dyDescent="0.25">
      <c r="A147" s="9"/>
      <c r="B147" s="8"/>
      <c r="C147" s="4"/>
      <c r="D147" s="4" t="s">
        <v>153</v>
      </c>
      <c r="E147" s="41"/>
      <c r="F147" s="41"/>
      <c r="G147" s="13" t="s">
        <v>30</v>
      </c>
      <c r="H147" s="41" t="s">
        <v>140</v>
      </c>
      <c r="I147" s="59" t="s">
        <v>140</v>
      </c>
      <c r="J147" s="13"/>
      <c r="L147" s="2"/>
    </row>
    <row r="148" spans="1:12" ht="18.75" x14ac:dyDescent="0.25">
      <c r="A148" s="9"/>
      <c r="B148" s="8"/>
      <c r="C148" s="4"/>
      <c r="D148" s="4" t="s">
        <v>183</v>
      </c>
      <c r="E148" s="41"/>
      <c r="F148" s="41">
        <f>10</f>
        <v>10</v>
      </c>
      <c r="G148" s="13" t="s">
        <v>137</v>
      </c>
      <c r="H148" s="41">
        <f>600.8/F148</f>
        <v>60.08</v>
      </c>
      <c r="I148" s="59">
        <f>F148*H148</f>
        <v>600.79999999999995</v>
      </c>
      <c r="J148" s="13" t="s">
        <v>115</v>
      </c>
      <c r="L148" s="2"/>
    </row>
    <row r="149" spans="1:12" ht="18.75" x14ac:dyDescent="0.25">
      <c r="A149" s="9"/>
      <c r="B149" s="8"/>
      <c r="C149" s="4"/>
      <c r="D149" s="4" t="s">
        <v>184</v>
      </c>
      <c r="E149" s="41" t="s">
        <v>140</v>
      </c>
      <c r="F149" s="41" t="s">
        <v>140</v>
      </c>
      <c r="G149" s="13" t="s">
        <v>137</v>
      </c>
      <c r="H149" s="41" t="s">
        <v>140</v>
      </c>
      <c r="I149" s="59" t="s">
        <v>140</v>
      </c>
      <c r="J149" s="13"/>
      <c r="L149" s="2"/>
    </row>
    <row r="150" spans="1:12" ht="18.75" x14ac:dyDescent="0.25">
      <c r="A150" s="9"/>
      <c r="B150" s="8"/>
      <c r="C150" s="4"/>
      <c r="D150" s="4" t="s">
        <v>196</v>
      </c>
      <c r="E150" s="41" t="s">
        <v>140</v>
      </c>
      <c r="F150" s="41" t="s">
        <v>140</v>
      </c>
      <c r="G150" s="13" t="s">
        <v>31</v>
      </c>
      <c r="H150" s="41" t="s">
        <v>140</v>
      </c>
      <c r="I150" s="59" t="s">
        <v>140</v>
      </c>
      <c r="J150" s="13"/>
      <c r="L150" s="2"/>
    </row>
    <row r="151" spans="1:12" ht="18.75" x14ac:dyDescent="0.25">
      <c r="A151" s="9" t="s">
        <v>22</v>
      </c>
      <c r="B151" s="8"/>
      <c r="C151" s="4"/>
      <c r="D151" s="4" t="s">
        <v>74</v>
      </c>
      <c r="E151" s="41" t="s">
        <v>140</v>
      </c>
      <c r="F151" s="41" t="s">
        <v>140</v>
      </c>
      <c r="G151" s="13" t="s">
        <v>30</v>
      </c>
      <c r="H151" s="41" t="s">
        <v>140</v>
      </c>
      <c r="I151" s="59" t="s">
        <v>140</v>
      </c>
      <c r="J151" s="13"/>
      <c r="L151" s="2"/>
    </row>
    <row r="152" spans="1:12" ht="18.75" x14ac:dyDescent="0.25">
      <c r="A152" s="46"/>
      <c r="B152" s="47"/>
      <c r="C152" s="22"/>
      <c r="D152" s="22"/>
      <c r="E152" s="45"/>
      <c r="F152" s="45"/>
      <c r="G152" s="31"/>
      <c r="H152" s="41"/>
      <c r="I152" s="61">
        <f>SUM(I144:I151)</f>
        <v>27842.066666666666</v>
      </c>
      <c r="J152" s="13"/>
      <c r="L152" s="2"/>
    </row>
    <row r="153" spans="1:12" ht="18.75" x14ac:dyDescent="0.3">
      <c r="A153" s="73" t="s">
        <v>76</v>
      </c>
      <c r="B153" s="74"/>
      <c r="C153" s="74"/>
      <c r="D153" s="74"/>
      <c r="E153" s="74"/>
      <c r="F153" s="74"/>
      <c r="G153" s="75"/>
      <c r="H153" s="5"/>
      <c r="I153" s="64"/>
      <c r="J153" s="13"/>
      <c r="L153" s="2"/>
    </row>
    <row r="154" spans="1:12" ht="38.25" customHeight="1" x14ac:dyDescent="0.25">
      <c r="A154" s="9" t="s">
        <v>23</v>
      </c>
      <c r="B154" s="5"/>
      <c r="C154" s="4"/>
      <c r="D154" s="15" t="s">
        <v>141</v>
      </c>
      <c r="E154" s="41" t="s">
        <v>140</v>
      </c>
      <c r="F154" s="41" t="s">
        <v>140</v>
      </c>
      <c r="G154" s="13" t="s">
        <v>52</v>
      </c>
      <c r="H154" s="41" t="s">
        <v>140</v>
      </c>
      <c r="I154" s="59" t="s">
        <v>140</v>
      </c>
      <c r="J154" s="13"/>
      <c r="L154" s="2"/>
    </row>
    <row r="155" spans="1:12" ht="38.25" customHeight="1" x14ac:dyDescent="0.25">
      <c r="A155" s="9"/>
      <c r="B155" s="5"/>
      <c r="C155" s="4"/>
      <c r="D155" s="15" t="s">
        <v>162</v>
      </c>
      <c r="E155" s="41" t="s">
        <v>140</v>
      </c>
      <c r="F155" s="41" t="s">
        <v>140</v>
      </c>
      <c r="G155" s="13" t="s">
        <v>31</v>
      </c>
      <c r="H155" s="41" t="s">
        <v>140</v>
      </c>
      <c r="I155" s="59" t="s">
        <v>140</v>
      </c>
      <c r="J155" s="13"/>
      <c r="L155" s="2"/>
    </row>
    <row r="156" spans="1:12" ht="18.75" x14ac:dyDescent="0.25">
      <c r="A156" s="9" t="s">
        <v>24</v>
      </c>
      <c r="B156" s="5"/>
      <c r="C156" s="4"/>
      <c r="D156" s="4" t="s">
        <v>75</v>
      </c>
      <c r="E156" s="41" t="s">
        <v>140</v>
      </c>
      <c r="F156" s="41" t="s">
        <v>140</v>
      </c>
      <c r="G156" s="13" t="s">
        <v>52</v>
      </c>
      <c r="H156" s="41" t="s">
        <v>140</v>
      </c>
      <c r="I156" s="59" t="s">
        <v>140</v>
      </c>
      <c r="J156" s="13"/>
      <c r="L156" s="2"/>
    </row>
    <row r="157" spans="1:12" ht="31.5" x14ac:dyDescent="0.25">
      <c r="A157" s="9" t="s">
        <v>126</v>
      </c>
      <c r="B157" s="5"/>
      <c r="C157" s="4"/>
      <c r="D157" s="15" t="s">
        <v>148</v>
      </c>
      <c r="E157" s="41"/>
      <c r="F157" s="41"/>
      <c r="G157" s="13" t="s">
        <v>52</v>
      </c>
      <c r="H157" s="41"/>
      <c r="I157" s="59"/>
      <c r="J157" s="13"/>
      <c r="L157" s="2"/>
    </row>
    <row r="158" spans="1:12" ht="18.75" x14ac:dyDescent="0.25">
      <c r="A158" s="9"/>
      <c r="B158" s="5"/>
      <c r="C158" s="4"/>
      <c r="D158" s="15" t="s">
        <v>163</v>
      </c>
      <c r="E158" s="41"/>
      <c r="F158" s="41">
        <f>110+80</f>
        <v>190</v>
      </c>
      <c r="G158" s="13" t="s">
        <v>144</v>
      </c>
      <c r="H158" s="44">
        <f>(55237.8+44794.2)/F158</f>
        <v>526.48421052631579</v>
      </c>
      <c r="I158" s="59">
        <f>F158*H158</f>
        <v>100032</v>
      </c>
      <c r="J158" s="13" t="s">
        <v>115</v>
      </c>
      <c r="L158" s="2"/>
    </row>
    <row r="159" spans="1:12" ht="31.5" x14ac:dyDescent="0.25">
      <c r="A159" s="9"/>
      <c r="B159" s="5"/>
      <c r="C159" s="4"/>
      <c r="D159" s="15" t="s">
        <v>211</v>
      </c>
      <c r="E159" s="41"/>
      <c r="F159" s="41"/>
      <c r="G159" s="13" t="s">
        <v>31</v>
      </c>
      <c r="H159" s="41"/>
      <c r="I159" s="59"/>
      <c r="J159" s="13"/>
      <c r="L159" s="2"/>
    </row>
    <row r="160" spans="1:12" ht="31.5" x14ac:dyDescent="0.25">
      <c r="A160" s="9"/>
      <c r="B160" s="5"/>
      <c r="C160" s="4"/>
      <c r="D160" s="15" t="s">
        <v>127</v>
      </c>
      <c r="E160" s="41"/>
      <c r="F160" s="41"/>
      <c r="G160" s="13" t="s">
        <v>31</v>
      </c>
      <c r="H160" s="41"/>
      <c r="I160" s="59"/>
      <c r="J160" s="13"/>
      <c r="L160" s="2"/>
    </row>
    <row r="161" spans="1:12" ht="18.75" x14ac:dyDescent="0.25">
      <c r="A161" s="9"/>
      <c r="B161" s="5"/>
      <c r="C161" s="4"/>
      <c r="D161" s="15" t="s">
        <v>178</v>
      </c>
      <c r="E161" s="41"/>
      <c r="F161" s="41"/>
      <c r="G161" s="13" t="s">
        <v>52</v>
      </c>
      <c r="H161" s="41" t="s">
        <v>140</v>
      </c>
      <c r="I161" s="59" t="s">
        <v>140</v>
      </c>
      <c r="J161" s="13"/>
      <c r="L161" s="2"/>
    </row>
    <row r="162" spans="1:12" ht="18.75" x14ac:dyDescent="0.25">
      <c r="A162" s="9"/>
      <c r="B162" s="5"/>
      <c r="C162" s="4"/>
      <c r="D162" s="15" t="s">
        <v>105</v>
      </c>
      <c r="E162" s="32"/>
      <c r="F162" s="13">
        <f>1+1+1+5+25+3+2+1+1+1</f>
        <v>41</v>
      </c>
      <c r="G162" s="13" t="s">
        <v>52</v>
      </c>
      <c r="H162" s="33">
        <f>(201.2+201.2+201.2+1007.4+5043.2+4232.6+610+404.6+204.4+205.4+205.4)/F162</f>
        <v>305.28292682926826</v>
      </c>
      <c r="I162" s="62">
        <f t="shared" ref="I162" si="6">F162*H162</f>
        <v>12516.599999999999</v>
      </c>
      <c r="J162" s="13" t="s">
        <v>115</v>
      </c>
      <c r="L162" s="2"/>
    </row>
    <row r="163" spans="1:12" ht="18.75" x14ac:dyDescent="0.25">
      <c r="A163" s="9"/>
      <c r="B163" s="5"/>
      <c r="C163" s="4"/>
      <c r="D163" s="15" t="s">
        <v>235</v>
      </c>
      <c r="E163" s="32"/>
      <c r="F163" s="31">
        <f>25</f>
        <v>25</v>
      </c>
      <c r="G163" s="13" t="s">
        <v>31</v>
      </c>
      <c r="H163" s="56">
        <f>60820.4/F163</f>
        <v>2432.8160000000003</v>
      </c>
      <c r="I163" s="63">
        <f>F163*H163</f>
        <v>60820.400000000009</v>
      </c>
      <c r="J163" s="13" t="s">
        <v>122</v>
      </c>
      <c r="L163" s="2"/>
    </row>
    <row r="164" spans="1:12" ht="18.75" x14ac:dyDescent="0.25">
      <c r="A164" s="9"/>
      <c r="B164" s="5"/>
      <c r="C164" s="4"/>
      <c r="D164" s="15" t="s">
        <v>236</v>
      </c>
      <c r="E164" s="32"/>
      <c r="F164" s="31">
        <f>25</f>
        <v>25</v>
      </c>
      <c r="G164" s="13" t="s">
        <v>31</v>
      </c>
      <c r="H164" s="56">
        <f>8585.4/F164</f>
        <v>343.416</v>
      </c>
      <c r="I164" s="63">
        <f>F164*H164</f>
        <v>8585.4</v>
      </c>
      <c r="J164" s="13" t="s">
        <v>122</v>
      </c>
      <c r="L164" s="2"/>
    </row>
    <row r="165" spans="1:12" ht="18.75" x14ac:dyDescent="0.25">
      <c r="A165" s="9"/>
      <c r="B165" s="5"/>
      <c r="C165" s="4"/>
      <c r="D165" s="15" t="s">
        <v>258</v>
      </c>
      <c r="E165" s="32"/>
      <c r="F165" s="13">
        <v>25</v>
      </c>
      <c r="G165" s="13" t="s">
        <v>52</v>
      </c>
      <c r="H165" s="33">
        <f>4232.6/F164</f>
        <v>169.304</v>
      </c>
      <c r="I165" s="62">
        <f t="shared" ref="I165" si="7">F165*H165</f>
        <v>4232.6000000000004</v>
      </c>
      <c r="J165" s="13"/>
      <c r="L165" s="2"/>
    </row>
    <row r="166" spans="1:12" ht="18.75" x14ac:dyDescent="0.25">
      <c r="A166" s="9"/>
      <c r="B166" s="5"/>
      <c r="C166" s="4"/>
      <c r="D166" s="15" t="s">
        <v>195</v>
      </c>
      <c r="E166" s="41"/>
      <c r="F166" s="41">
        <f>1</f>
        <v>1</v>
      </c>
      <c r="G166" s="13" t="s">
        <v>31</v>
      </c>
      <c r="H166" s="41">
        <v>320.60000000000002</v>
      </c>
      <c r="I166" s="59">
        <f>F166*H166</f>
        <v>320.60000000000002</v>
      </c>
      <c r="J166" s="13" t="s">
        <v>122</v>
      </c>
      <c r="L166" s="2"/>
    </row>
    <row r="167" spans="1:12" ht="56.25" x14ac:dyDescent="0.25">
      <c r="A167" s="9" t="s">
        <v>106</v>
      </c>
      <c r="B167" s="5"/>
      <c r="C167" s="4"/>
      <c r="D167" s="15" t="s">
        <v>124</v>
      </c>
      <c r="E167" s="32"/>
      <c r="F167" s="13">
        <f>54+54+54+54+54+54+54+54+54+54+54+54</f>
        <v>648</v>
      </c>
      <c r="G167" s="13" t="s">
        <v>107</v>
      </c>
      <c r="H167" s="33">
        <f>(2130.6+2130.6+2130.6+2177.6+2177.6+2177.6+2234.8+2234.8+2234.8+2306.2+2306.2+2306.2)/F167</f>
        <v>40.968518518518522</v>
      </c>
      <c r="I167" s="62">
        <f>F167*H167</f>
        <v>26547.600000000002</v>
      </c>
      <c r="J167" s="13" t="s">
        <v>115</v>
      </c>
      <c r="L167" s="2"/>
    </row>
    <row r="168" spans="1:12" ht="18.75" x14ac:dyDescent="0.25">
      <c r="A168" s="46"/>
      <c r="B168" s="22"/>
      <c r="C168" s="22"/>
      <c r="D168" s="30"/>
      <c r="E168" s="48"/>
      <c r="F168" s="49"/>
      <c r="G168" s="31"/>
      <c r="H168" s="31"/>
      <c r="I168" s="62">
        <f>SUM(I157:I167)</f>
        <v>213055.2</v>
      </c>
      <c r="J168" s="13"/>
      <c r="L168" s="2"/>
    </row>
    <row r="169" spans="1:12" ht="18.75" x14ac:dyDescent="0.25">
      <c r="A169" s="80" t="s">
        <v>89</v>
      </c>
      <c r="B169" s="81"/>
      <c r="C169" s="81"/>
      <c r="D169" s="81"/>
      <c r="E169" s="81"/>
      <c r="F169" s="81"/>
      <c r="G169" s="82"/>
      <c r="H169" s="12"/>
      <c r="I169" s="64"/>
      <c r="J169" s="13"/>
      <c r="L169" s="2"/>
    </row>
    <row r="170" spans="1:12" ht="18.75" x14ac:dyDescent="0.25">
      <c r="A170" s="26"/>
      <c r="B170" s="27"/>
      <c r="C170" s="27"/>
      <c r="D170" s="36" t="s">
        <v>116</v>
      </c>
      <c r="E170" s="41"/>
      <c r="F170" s="41">
        <f>2</f>
        <v>2</v>
      </c>
      <c r="G170" s="38" t="s">
        <v>31</v>
      </c>
      <c r="H170" s="41">
        <f>2580.2/F170</f>
        <v>1290.0999999999999</v>
      </c>
      <c r="I170" s="59">
        <f>F170*H170</f>
        <v>2580.1999999999998</v>
      </c>
      <c r="J170" s="13" t="s">
        <v>146</v>
      </c>
      <c r="L170" s="2"/>
    </row>
    <row r="171" spans="1:12" ht="63" x14ac:dyDescent="0.25">
      <c r="A171" s="9" t="s">
        <v>87</v>
      </c>
      <c r="B171" s="22"/>
      <c r="C171" s="22"/>
      <c r="D171" s="23" t="s">
        <v>118</v>
      </c>
      <c r="E171" s="37">
        <v>876</v>
      </c>
      <c r="F171" s="13">
        <v>876</v>
      </c>
      <c r="G171" s="31" t="s">
        <v>88</v>
      </c>
      <c r="H171" s="31">
        <v>4.8</v>
      </c>
      <c r="I171" s="62">
        <f>F171*H171*12</f>
        <v>50457.600000000006</v>
      </c>
      <c r="J171" s="13" t="s">
        <v>115</v>
      </c>
      <c r="L171" s="2"/>
    </row>
    <row r="172" spans="1:12" ht="18.75" x14ac:dyDescent="0.25">
      <c r="A172" s="46"/>
      <c r="B172" s="22"/>
      <c r="C172" s="22"/>
      <c r="D172" s="30"/>
      <c r="E172" s="48"/>
      <c r="F172" s="49"/>
      <c r="G172" s="31"/>
      <c r="H172" s="31"/>
      <c r="I172" s="62">
        <f>SUM(I170:I171)</f>
        <v>53037.8</v>
      </c>
      <c r="J172" s="13"/>
      <c r="L172" s="2"/>
    </row>
    <row r="173" spans="1:12" ht="18.75" x14ac:dyDescent="0.3">
      <c r="A173" s="73" t="s">
        <v>77</v>
      </c>
      <c r="B173" s="74"/>
      <c r="C173" s="74"/>
      <c r="D173" s="74"/>
      <c r="E173" s="74"/>
      <c r="F173" s="74"/>
      <c r="G173" s="75"/>
      <c r="H173" s="19"/>
      <c r="I173" s="64"/>
      <c r="J173" s="13"/>
      <c r="L173" s="2"/>
    </row>
    <row r="174" spans="1:12" ht="46.5" customHeight="1" x14ac:dyDescent="0.3">
      <c r="A174" s="34" t="s">
        <v>132</v>
      </c>
      <c r="B174" s="24"/>
      <c r="C174" s="24"/>
      <c r="D174" s="35" t="s">
        <v>131</v>
      </c>
      <c r="E174" s="13">
        <v>432</v>
      </c>
      <c r="F174" s="13">
        <v>432</v>
      </c>
      <c r="G174" s="13" t="s">
        <v>139</v>
      </c>
      <c r="H174" s="13">
        <v>13</v>
      </c>
      <c r="I174" s="62">
        <f>F174*H174*3</f>
        <v>16848</v>
      </c>
      <c r="J174" s="13" t="s">
        <v>147</v>
      </c>
      <c r="L174" s="2"/>
    </row>
    <row r="175" spans="1:12" ht="18.75" x14ac:dyDescent="0.25">
      <c r="A175" s="9" t="s">
        <v>25</v>
      </c>
      <c r="B175" s="5"/>
      <c r="C175" s="4"/>
      <c r="D175" s="4" t="s">
        <v>73</v>
      </c>
      <c r="E175" s="41" t="s">
        <v>140</v>
      </c>
      <c r="F175" s="41" t="s">
        <v>140</v>
      </c>
      <c r="G175" s="14" t="s">
        <v>52</v>
      </c>
      <c r="H175" s="41" t="s">
        <v>140</v>
      </c>
      <c r="I175" s="59" t="s">
        <v>140</v>
      </c>
      <c r="J175" s="13"/>
      <c r="L175" s="2"/>
    </row>
    <row r="176" spans="1:12" ht="47.25" x14ac:dyDescent="0.25">
      <c r="A176" s="9" t="s">
        <v>26</v>
      </c>
      <c r="B176" s="5"/>
      <c r="C176" s="4"/>
      <c r="D176" s="15" t="s">
        <v>28</v>
      </c>
      <c r="E176" s="41" t="s">
        <v>140</v>
      </c>
      <c r="F176" s="41" t="s">
        <v>140</v>
      </c>
      <c r="G176" s="14" t="s">
        <v>52</v>
      </c>
      <c r="H176" s="41" t="s">
        <v>140</v>
      </c>
      <c r="I176" s="59" t="s">
        <v>140</v>
      </c>
      <c r="J176" s="13"/>
      <c r="L176" s="2"/>
    </row>
    <row r="177" spans="1:12" ht="31.5" x14ac:dyDescent="0.25">
      <c r="A177" s="9" t="s">
        <v>27</v>
      </c>
      <c r="B177" s="5"/>
      <c r="C177" s="4"/>
      <c r="D177" s="15" t="s">
        <v>72</v>
      </c>
      <c r="E177" s="41" t="s">
        <v>140</v>
      </c>
      <c r="F177" s="41" t="s">
        <v>140</v>
      </c>
      <c r="G177" s="14" t="s">
        <v>52</v>
      </c>
      <c r="H177" s="41" t="s">
        <v>140</v>
      </c>
      <c r="I177" s="59" t="s">
        <v>140</v>
      </c>
      <c r="J177" s="13"/>
      <c r="L177" s="2"/>
    </row>
    <row r="178" spans="1:12" ht="18.75" x14ac:dyDescent="0.25">
      <c r="A178" s="46"/>
      <c r="B178" s="22"/>
      <c r="C178" s="22"/>
      <c r="D178" s="30"/>
      <c r="E178" s="45"/>
      <c r="F178" s="45"/>
      <c r="G178" s="12"/>
      <c r="H178" s="50"/>
      <c r="I178" s="65">
        <f>SUM(I174:I177)</f>
        <v>16848</v>
      </c>
      <c r="J178" s="51"/>
      <c r="L178" s="2"/>
    </row>
    <row r="179" spans="1:12" ht="18.75" x14ac:dyDescent="0.3">
      <c r="A179" s="73" t="s">
        <v>82</v>
      </c>
      <c r="B179" s="74"/>
      <c r="C179" s="74"/>
      <c r="D179" s="74"/>
      <c r="E179" s="74"/>
      <c r="F179" s="74"/>
      <c r="G179" s="75"/>
      <c r="H179" s="2"/>
      <c r="I179" s="66"/>
      <c r="J179" s="2"/>
      <c r="K179" s="2"/>
      <c r="L179" s="2"/>
    </row>
    <row r="180" spans="1:12" ht="48" x14ac:dyDescent="0.3">
      <c r="A180" s="6" t="s">
        <v>64</v>
      </c>
      <c r="B180" s="6"/>
      <c r="C180" s="4"/>
      <c r="D180" s="15" t="s">
        <v>83</v>
      </c>
      <c r="E180" s="41" t="s">
        <v>140</v>
      </c>
      <c r="F180" s="41" t="s">
        <v>140</v>
      </c>
      <c r="G180" s="13" t="s">
        <v>30</v>
      </c>
      <c r="H180" s="41" t="s">
        <v>140</v>
      </c>
      <c r="I180" s="59" t="s">
        <v>140</v>
      </c>
      <c r="J180" s="5"/>
      <c r="L180" s="2"/>
    </row>
    <row r="181" spans="1:12" ht="32.25" x14ac:dyDescent="0.3">
      <c r="A181" s="28"/>
      <c r="B181" s="29"/>
      <c r="C181" s="22"/>
      <c r="D181" s="40" t="s">
        <v>261</v>
      </c>
      <c r="E181" s="41"/>
      <c r="F181" s="41">
        <f>1+1+1+1+1+1+1+1+1</f>
        <v>9</v>
      </c>
      <c r="G181" s="13" t="s">
        <v>31</v>
      </c>
      <c r="H181" s="41">
        <f>(1585+1585+1585+1585+1585+1585+1585+1585+1585)/F181</f>
        <v>1585</v>
      </c>
      <c r="I181" s="59">
        <f>F181*H181</f>
        <v>14265</v>
      </c>
      <c r="J181" s="5" t="s">
        <v>117</v>
      </c>
      <c r="L181" s="2"/>
    </row>
    <row r="182" spans="1:12" ht="18.75" x14ac:dyDescent="0.3">
      <c r="A182" s="28"/>
      <c r="B182" s="29"/>
      <c r="C182" s="22"/>
      <c r="D182" s="40" t="s">
        <v>241</v>
      </c>
      <c r="E182" s="41"/>
      <c r="F182" s="41">
        <v>6</v>
      </c>
      <c r="G182" s="13" t="s">
        <v>31</v>
      </c>
      <c r="H182" s="44">
        <f>(650+1650+1650+1650+1900+1900)/F182</f>
        <v>1566.6666666666667</v>
      </c>
      <c r="I182" s="59">
        <f>F182*H182</f>
        <v>9400</v>
      </c>
      <c r="J182" s="5" t="s">
        <v>117</v>
      </c>
      <c r="L182" s="2"/>
    </row>
    <row r="183" spans="1:12" ht="32.25" x14ac:dyDescent="0.3">
      <c r="A183" s="28"/>
      <c r="B183" s="29"/>
      <c r="C183" s="22"/>
      <c r="D183" s="40" t="s">
        <v>108</v>
      </c>
      <c r="E183" s="41">
        <v>1</v>
      </c>
      <c r="F183" s="41">
        <v>1</v>
      </c>
      <c r="G183" s="13" t="s">
        <v>109</v>
      </c>
      <c r="H183" s="41">
        <v>22950</v>
      </c>
      <c r="I183" s="67">
        <f>F183*H183</f>
        <v>22950</v>
      </c>
      <c r="J183" s="39" t="s">
        <v>117</v>
      </c>
      <c r="L183" s="2"/>
    </row>
    <row r="184" spans="1:12" ht="18.75" x14ac:dyDescent="0.3">
      <c r="A184" s="28"/>
      <c r="B184" s="29"/>
      <c r="C184" s="22"/>
      <c r="D184" s="30"/>
      <c r="E184" s="45"/>
      <c r="F184" s="45"/>
      <c r="G184" s="31"/>
      <c r="H184" s="45"/>
      <c r="I184" s="52">
        <f>SUM(I183)</f>
        <v>22950</v>
      </c>
      <c r="J184" s="53"/>
      <c r="L184" s="2"/>
    </row>
    <row r="185" spans="1:12" ht="18.75" x14ac:dyDescent="0.3">
      <c r="A185" s="73" t="s">
        <v>97</v>
      </c>
      <c r="B185" s="74"/>
      <c r="C185" s="74"/>
      <c r="D185" s="74"/>
      <c r="E185" s="74"/>
      <c r="F185" s="74"/>
      <c r="G185" s="75"/>
      <c r="H185" s="73"/>
      <c r="I185" s="74"/>
      <c r="J185" s="74"/>
      <c r="L185" s="2"/>
    </row>
    <row r="186" spans="1:12" ht="32.25" x14ac:dyDescent="0.3">
      <c r="A186" s="34" t="s">
        <v>145</v>
      </c>
      <c r="B186" s="24"/>
      <c r="C186" s="24"/>
      <c r="D186" s="40" t="s">
        <v>134</v>
      </c>
      <c r="E186" s="13"/>
      <c r="F186" s="13">
        <f>1+1</f>
        <v>2</v>
      </c>
      <c r="G186" s="13" t="s">
        <v>135</v>
      </c>
      <c r="H186" s="13">
        <v>800</v>
      </c>
      <c r="I186" s="60">
        <f t="shared" ref="I186:I189" si="8">F186*H186</f>
        <v>1600</v>
      </c>
      <c r="J186" s="13" t="s">
        <v>123</v>
      </c>
      <c r="L186" s="2"/>
    </row>
    <row r="187" spans="1:12" ht="48" x14ac:dyDescent="0.3">
      <c r="A187" s="24"/>
      <c r="B187" s="24"/>
      <c r="C187" s="24"/>
      <c r="D187" s="40" t="s">
        <v>136</v>
      </c>
      <c r="E187" s="41"/>
      <c r="F187" s="41">
        <f>20+100+20</f>
        <v>140</v>
      </c>
      <c r="G187" s="13" t="s">
        <v>137</v>
      </c>
      <c r="H187" s="41">
        <v>650</v>
      </c>
      <c r="I187" s="61">
        <f>F187*H187</f>
        <v>91000</v>
      </c>
      <c r="J187" s="13" t="s">
        <v>123</v>
      </c>
      <c r="L187" s="2"/>
    </row>
    <row r="188" spans="1:12" ht="32.25" x14ac:dyDescent="0.3">
      <c r="A188" s="24"/>
      <c r="B188" s="24"/>
      <c r="C188" s="24"/>
      <c r="D188" s="40" t="s">
        <v>222</v>
      </c>
      <c r="E188" s="13"/>
      <c r="F188" s="13">
        <f>150+240+225+10</f>
        <v>625</v>
      </c>
      <c r="G188" s="13" t="s">
        <v>138</v>
      </c>
      <c r="H188" s="33">
        <f>(7500+12000+11250+458)/F188</f>
        <v>49.9328</v>
      </c>
      <c r="I188" s="60">
        <f t="shared" si="8"/>
        <v>31208</v>
      </c>
      <c r="J188" s="13" t="s">
        <v>123</v>
      </c>
      <c r="L188" s="2"/>
    </row>
    <row r="189" spans="1:12" ht="32.25" x14ac:dyDescent="0.3">
      <c r="A189" s="24"/>
      <c r="B189" s="24"/>
      <c r="C189" s="24"/>
      <c r="D189" s="40" t="s">
        <v>223</v>
      </c>
      <c r="E189" s="13"/>
      <c r="F189" s="13">
        <f>8+20+20</f>
        <v>48</v>
      </c>
      <c r="G189" s="13" t="s">
        <v>138</v>
      </c>
      <c r="H189" s="33">
        <f>(333+833+917)/F189</f>
        <v>43.395833333333336</v>
      </c>
      <c r="I189" s="60">
        <f t="shared" si="8"/>
        <v>2083</v>
      </c>
      <c r="J189" s="13" t="s">
        <v>123</v>
      </c>
      <c r="L189" s="2"/>
    </row>
    <row r="190" spans="1:12" ht="32.25" x14ac:dyDescent="0.3">
      <c r="A190" s="24"/>
      <c r="B190" s="24"/>
      <c r="C190" s="24"/>
      <c r="D190" s="40" t="s">
        <v>231</v>
      </c>
      <c r="E190" s="13"/>
      <c r="F190" s="13">
        <f>12</f>
        <v>12</v>
      </c>
      <c r="G190" s="13" t="s">
        <v>232</v>
      </c>
      <c r="H190" s="33">
        <f>59604.4/F190</f>
        <v>4967.0333333333338</v>
      </c>
      <c r="I190" s="62">
        <f t="shared" ref="I190:I193" si="9">F190*H190</f>
        <v>59604.400000000009</v>
      </c>
      <c r="J190" s="13" t="s">
        <v>122</v>
      </c>
      <c r="L190" s="2"/>
    </row>
    <row r="191" spans="1:12" ht="32.25" x14ac:dyDescent="0.3">
      <c r="A191" s="24"/>
      <c r="B191" s="24"/>
      <c r="C191" s="24"/>
      <c r="D191" s="40" t="s">
        <v>233</v>
      </c>
      <c r="E191" s="13"/>
      <c r="F191" s="13">
        <v>6</v>
      </c>
      <c r="G191" s="13" t="s">
        <v>232</v>
      </c>
      <c r="H191" s="33">
        <f>55335/F191</f>
        <v>9222.5</v>
      </c>
      <c r="I191" s="62">
        <f t="shared" si="9"/>
        <v>55335</v>
      </c>
      <c r="J191" s="13" t="s">
        <v>122</v>
      </c>
      <c r="L191" s="2"/>
    </row>
    <row r="192" spans="1:12" ht="47.25" x14ac:dyDescent="0.3">
      <c r="A192" s="24"/>
      <c r="B192" s="24"/>
      <c r="C192" s="24"/>
      <c r="D192" s="40" t="s">
        <v>239</v>
      </c>
      <c r="E192" s="13"/>
      <c r="F192" s="13">
        <f>4</f>
        <v>4</v>
      </c>
      <c r="G192" s="38" t="s">
        <v>240</v>
      </c>
      <c r="H192" s="33">
        <f>25073.8/F192</f>
        <v>6268.45</v>
      </c>
      <c r="I192" s="62">
        <f>F192*H192</f>
        <v>25073.8</v>
      </c>
      <c r="J192" s="13" t="s">
        <v>117</v>
      </c>
      <c r="L192" s="2"/>
    </row>
    <row r="193" spans="1:12" ht="18.75" x14ac:dyDescent="0.3">
      <c r="A193" s="24"/>
      <c r="B193" s="24"/>
      <c r="C193" s="24"/>
      <c r="D193" s="40" t="s">
        <v>234</v>
      </c>
      <c r="E193" s="13"/>
      <c r="F193" s="13">
        <f>3</f>
        <v>3</v>
      </c>
      <c r="G193" s="13" t="s">
        <v>112</v>
      </c>
      <c r="H193" s="33">
        <f>5749.2/F193</f>
        <v>1916.3999999999999</v>
      </c>
      <c r="I193" s="62">
        <f t="shared" si="9"/>
        <v>5749.2</v>
      </c>
      <c r="J193" s="13" t="s">
        <v>122</v>
      </c>
      <c r="L193" s="2"/>
    </row>
    <row r="194" spans="1:12" ht="18.75" x14ac:dyDescent="0.3">
      <c r="A194" s="34" t="s">
        <v>157</v>
      </c>
      <c r="B194" s="14"/>
      <c r="C194" s="14"/>
      <c r="D194" s="40" t="s">
        <v>238</v>
      </c>
      <c r="E194" s="41" t="s">
        <v>140</v>
      </c>
      <c r="F194" s="41">
        <f>1</f>
        <v>1</v>
      </c>
      <c r="G194" s="13" t="s">
        <v>31</v>
      </c>
      <c r="H194" s="41">
        <v>6200</v>
      </c>
      <c r="I194" s="59">
        <f>F194*H194</f>
        <v>6200</v>
      </c>
      <c r="J194" s="14" t="s">
        <v>122</v>
      </c>
      <c r="L194" s="2"/>
    </row>
    <row r="195" spans="1:12" ht="18.75" x14ac:dyDescent="0.3">
      <c r="A195" s="34"/>
      <c r="B195" s="14"/>
      <c r="C195" s="14"/>
      <c r="D195" s="40"/>
      <c r="E195" s="41"/>
      <c r="F195" s="41"/>
      <c r="G195" s="13"/>
      <c r="H195" s="41"/>
      <c r="I195" s="61">
        <f>SUM(I186:I194)</f>
        <v>277853.40000000002</v>
      </c>
      <c r="J195" s="14"/>
      <c r="L195" s="2"/>
    </row>
    <row r="196" spans="1:12" ht="18.75" x14ac:dyDescent="0.3">
      <c r="A196" s="68" t="s">
        <v>264</v>
      </c>
      <c r="B196" s="14"/>
      <c r="C196" s="14"/>
      <c r="D196" s="43"/>
      <c r="E196" s="14"/>
      <c r="F196" s="14"/>
      <c r="G196" s="38"/>
      <c r="H196" s="14"/>
      <c r="I196" s="69">
        <f>I194+I193+I192+I191+I190+I189+I188+I187+I186+I182+I181+I165+I164+I163+I158+I122+I120+I119+I103+I102+I99+I98+I97+I96+I95+I94+I93+I92+I90+I73+I71+I69+I59+I58+I57+I56+I54+I53+I52+I51+I50+I49+I48+I47+I46+I45+I44+I42+I41+I40+I39+I38+I34+I7</f>
        <v>1053626.7999999998</v>
      </c>
      <c r="J196" s="14"/>
      <c r="L196" s="2"/>
    </row>
    <row r="197" spans="1:12" ht="15.75" x14ac:dyDescent="0.25">
      <c r="A197" s="54" t="s">
        <v>220</v>
      </c>
      <c r="B197" s="25"/>
      <c r="C197" s="25"/>
      <c r="D197" s="43"/>
      <c r="E197" s="13"/>
      <c r="F197" s="13"/>
      <c r="G197" s="38"/>
      <c r="H197" s="13"/>
      <c r="I197" s="55">
        <f>I15+I36+I76+I110+I125+I142+I152+I168+I172+I178+I184+I195</f>
        <v>1359591.6</v>
      </c>
      <c r="J197" s="14"/>
      <c r="K197" s="2"/>
      <c r="L197" s="2"/>
    </row>
    <row r="198" spans="1:12" ht="99.75" customHeight="1" x14ac:dyDescent="0.25">
      <c r="A198" s="70" t="s">
        <v>104</v>
      </c>
      <c r="B198" s="70"/>
      <c r="C198" s="70"/>
      <c r="D198" s="70"/>
      <c r="E198" s="70"/>
      <c r="F198" s="70"/>
      <c r="G198" s="70"/>
      <c r="H198" s="70"/>
      <c r="I198" s="70"/>
      <c r="J198" s="70"/>
      <c r="K198" s="2"/>
      <c r="L198" s="2"/>
    </row>
    <row r="199" spans="1:12" ht="15.75" x14ac:dyDescent="0.25">
      <c r="A199" s="2"/>
      <c r="B199" s="2"/>
      <c r="C199" s="2"/>
      <c r="D199" s="16"/>
      <c r="E199" s="16"/>
      <c r="F199" s="2"/>
      <c r="G199" s="2"/>
      <c r="H199" s="2"/>
      <c r="I199" s="2"/>
      <c r="J199" s="2"/>
      <c r="K199" s="2"/>
      <c r="L199" s="2"/>
    </row>
    <row r="200" spans="1:12" ht="15.75" x14ac:dyDescent="0.25">
      <c r="A200" s="2"/>
      <c r="B200" s="2"/>
      <c r="C200" s="2"/>
      <c r="D200" s="16"/>
      <c r="E200" s="16"/>
      <c r="F200" s="2"/>
      <c r="G200" s="2"/>
      <c r="H200" s="2"/>
      <c r="I200" s="2"/>
      <c r="J200" s="2"/>
      <c r="K200" s="2"/>
      <c r="L200" s="2"/>
    </row>
    <row r="201" spans="1:12" ht="15.75" x14ac:dyDescent="0.25">
      <c r="A201" s="2"/>
      <c r="B201" s="2"/>
      <c r="C201" s="2"/>
      <c r="D201" s="16"/>
      <c r="E201" s="16"/>
      <c r="F201" s="2"/>
      <c r="G201" s="2"/>
      <c r="H201" s="2"/>
      <c r="I201" s="2"/>
      <c r="J201" s="2"/>
      <c r="K201" s="2"/>
      <c r="L201" s="2"/>
    </row>
    <row r="202" spans="1:12" ht="15.75" x14ac:dyDescent="0.25">
      <c r="A202" s="2"/>
      <c r="B202" s="2"/>
      <c r="C202" s="2"/>
      <c r="D202" s="16"/>
      <c r="E202" s="16"/>
      <c r="F202" s="2"/>
      <c r="G202" s="2"/>
      <c r="H202" s="2"/>
      <c r="I202" s="2"/>
      <c r="J202" s="2"/>
      <c r="K202" s="2"/>
      <c r="L202" s="2"/>
    </row>
    <row r="203" spans="1:12" ht="15.75" x14ac:dyDescent="0.25">
      <c r="A203" s="2"/>
      <c r="B203" s="2"/>
      <c r="C203" s="2"/>
      <c r="D203" s="16"/>
      <c r="E203" s="16"/>
      <c r="F203" s="2"/>
      <c r="G203" s="2"/>
      <c r="H203" s="2"/>
      <c r="I203" s="2"/>
      <c r="J203" s="2"/>
      <c r="K203" s="2"/>
      <c r="L203" s="2"/>
    </row>
    <row r="204" spans="1:12" ht="15.75" x14ac:dyDescent="0.25">
      <c r="A204" s="2"/>
      <c r="B204" s="2"/>
      <c r="C204" s="2"/>
      <c r="D204" s="16"/>
      <c r="E204" s="16"/>
      <c r="F204" s="2"/>
      <c r="G204" s="2"/>
      <c r="H204" s="2"/>
      <c r="I204" s="2"/>
      <c r="J204" s="2"/>
      <c r="K204" s="2"/>
      <c r="L204" s="2"/>
    </row>
    <row r="205" spans="1:12" ht="15.75" x14ac:dyDescent="0.25">
      <c r="A205" s="2"/>
      <c r="B205" s="2"/>
      <c r="C205" s="2"/>
      <c r="D205" s="16"/>
      <c r="E205" s="16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2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57"/>
      <c r="J207" s="2"/>
      <c r="K207" s="2"/>
      <c r="L207" s="2"/>
    </row>
    <row r="208" spans="1:12" ht="15.75" x14ac:dyDescent="0.25">
      <c r="A208" s="2"/>
      <c r="B208" s="2"/>
      <c r="C208" s="2"/>
      <c r="D208" s="16"/>
      <c r="E208" s="16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16"/>
      <c r="E210" s="16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16"/>
      <c r="E211" s="16"/>
      <c r="F211" s="2"/>
      <c r="G211" s="2"/>
      <c r="H211" s="2"/>
      <c r="I211" s="2"/>
      <c r="J211" s="2"/>
      <c r="K211" s="2"/>
      <c r="L211" s="2"/>
    </row>
    <row r="212" spans="1:12" ht="15.75" x14ac:dyDescent="0.25">
      <c r="A212" s="2"/>
      <c r="B212" s="2"/>
      <c r="C212" s="2"/>
      <c r="D212" s="16"/>
      <c r="E212" s="16"/>
      <c r="F212" s="2"/>
      <c r="G212" s="2"/>
      <c r="H212" s="2"/>
      <c r="I212" s="2"/>
      <c r="J212" s="2"/>
      <c r="K212" s="2"/>
      <c r="L212" s="2"/>
    </row>
    <row r="213" spans="1:12" ht="15.75" x14ac:dyDescent="0.25">
      <c r="A213" s="2"/>
      <c r="B213" s="2"/>
      <c r="C213" s="2"/>
      <c r="D213" s="16"/>
      <c r="E213" s="16"/>
      <c r="F213" s="2"/>
      <c r="G213" s="2"/>
      <c r="H213" s="2"/>
      <c r="I213" s="2"/>
      <c r="J213" s="2"/>
      <c r="K213" s="2"/>
      <c r="L213" s="2"/>
    </row>
    <row r="214" spans="1:12" ht="15.75" x14ac:dyDescent="0.25">
      <c r="A214" s="2"/>
      <c r="B214" s="2"/>
      <c r="C214" s="2"/>
      <c r="D214" s="16"/>
      <c r="E214" s="16"/>
      <c r="F214" s="2"/>
      <c r="G214" s="2"/>
      <c r="H214" s="2"/>
      <c r="I214" s="2"/>
      <c r="J214" s="2"/>
      <c r="K214" s="2"/>
      <c r="L214" s="2"/>
    </row>
    <row r="215" spans="1:12" ht="15.75" x14ac:dyDescent="0.25">
      <c r="A215" s="2"/>
      <c r="B215" s="2"/>
      <c r="C215" s="2"/>
      <c r="D215" s="16"/>
      <c r="E215" s="16"/>
      <c r="F215" s="2"/>
      <c r="G215" s="2"/>
      <c r="H215" s="2"/>
      <c r="I215" s="2"/>
      <c r="J215" s="2"/>
      <c r="K215" s="2"/>
      <c r="L215" s="2"/>
    </row>
    <row r="216" spans="1:12" ht="15.75" x14ac:dyDescent="0.25">
      <c r="A216" s="2"/>
      <c r="B216" s="2"/>
      <c r="C216" s="2"/>
      <c r="D216" s="16"/>
      <c r="E216" s="16"/>
      <c r="F216" s="2"/>
      <c r="G216" s="2"/>
      <c r="H216" s="2"/>
      <c r="I216" s="2"/>
      <c r="J216" s="2"/>
      <c r="K216" s="2"/>
      <c r="L216" s="2"/>
    </row>
    <row r="217" spans="1:12" ht="15.75" x14ac:dyDescent="0.25">
      <c r="A217" s="2"/>
      <c r="B217" s="2"/>
      <c r="C217" s="2"/>
      <c r="D217" s="16"/>
      <c r="E217" s="16"/>
      <c r="F217" s="2"/>
      <c r="G217" s="2"/>
      <c r="H217" s="2"/>
      <c r="I217" s="2"/>
      <c r="J217" s="2"/>
      <c r="K217" s="2"/>
      <c r="L217" s="2"/>
    </row>
    <row r="218" spans="1:12" ht="15.75" x14ac:dyDescent="0.25">
      <c r="A218" s="2"/>
      <c r="B218" s="2"/>
      <c r="C218" s="2"/>
      <c r="D218" s="16"/>
      <c r="E218" s="16"/>
      <c r="F218" s="2"/>
      <c r="G218" s="2"/>
      <c r="H218" s="2"/>
      <c r="I218" s="2"/>
      <c r="J218" s="2"/>
      <c r="K218" s="2"/>
      <c r="L218" s="2"/>
    </row>
    <row r="219" spans="1:12" ht="15.75" x14ac:dyDescent="0.25">
      <c r="A219" s="2"/>
      <c r="B219" s="2"/>
      <c r="C219" s="2"/>
      <c r="D219" s="16"/>
      <c r="E219" s="16"/>
      <c r="F219" s="2"/>
      <c r="G219" s="2"/>
      <c r="H219" s="2"/>
      <c r="I219" s="2"/>
      <c r="J219" s="2"/>
      <c r="K219" s="2"/>
      <c r="L219" s="2"/>
    </row>
    <row r="220" spans="1:12" ht="15.75" x14ac:dyDescent="0.25">
      <c r="A220" s="2"/>
      <c r="B220" s="2"/>
      <c r="C220" s="2"/>
      <c r="D220" s="16"/>
      <c r="E220" s="16"/>
      <c r="F220" s="2"/>
      <c r="G220" s="2"/>
      <c r="H220" s="2"/>
      <c r="I220" s="2"/>
      <c r="J220" s="2"/>
      <c r="K220" s="2"/>
      <c r="L220" s="2"/>
    </row>
    <row r="221" spans="1:12" ht="15.75" x14ac:dyDescent="0.25">
      <c r="A221" s="2"/>
      <c r="B221" s="2"/>
      <c r="C221" s="2"/>
      <c r="D221" s="16"/>
      <c r="E221" s="16"/>
      <c r="F221" s="2"/>
      <c r="G221" s="2"/>
      <c r="H221" s="2"/>
      <c r="I221" s="2"/>
      <c r="J221" s="2"/>
      <c r="K221" s="2"/>
      <c r="L221" s="2"/>
    </row>
    <row r="222" spans="1:12" ht="15.75" x14ac:dyDescent="0.25">
      <c r="A222" s="2"/>
      <c r="B222" s="2"/>
      <c r="C222" s="2"/>
      <c r="D222" s="16"/>
      <c r="E222" s="16"/>
      <c r="F222" s="2"/>
      <c r="G222" s="2"/>
      <c r="H222" s="2"/>
      <c r="I222" s="2"/>
      <c r="J222" s="2"/>
      <c r="K222" s="2"/>
      <c r="L222" s="2"/>
    </row>
    <row r="223" spans="1:12" ht="15.75" x14ac:dyDescent="0.25">
      <c r="A223" s="2"/>
      <c r="B223" s="2"/>
      <c r="C223" s="2"/>
      <c r="D223" s="16"/>
      <c r="E223" s="16"/>
      <c r="F223" s="2"/>
      <c r="G223" s="2"/>
      <c r="H223" s="2"/>
      <c r="I223" s="2"/>
      <c r="J223" s="2"/>
      <c r="K223" s="2"/>
      <c r="L223" s="2"/>
    </row>
    <row r="224" spans="1:12" ht="15.75" x14ac:dyDescent="0.25">
      <c r="A224" s="2"/>
      <c r="B224" s="2"/>
      <c r="C224" s="2"/>
      <c r="D224" s="16"/>
      <c r="E224" s="16"/>
      <c r="F224" s="2"/>
      <c r="G224" s="2"/>
      <c r="H224" s="2"/>
      <c r="I224" s="2"/>
      <c r="J224" s="2"/>
      <c r="K224" s="2"/>
      <c r="L224" s="2"/>
    </row>
  </sheetData>
  <mergeCells count="16">
    <mergeCell ref="A198:J198"/>
    <mergeCell ref="A2:J2"/>
    <mergeCell ref="A185:G185"/>
    <mergeCell ref="H185:J185"/>
    <mergeCell ref="I1:J1"/>
    <mergeCell ref="A126:G126"/>
    <mergeCell ref="A153:G153"/>
    <mergeCell ref="A179:G179"/>
    <mergeCell ref="A37:G37"/>
    <mergeCell ref="A16:G16"/>
    <mergeCell ref="A4:G4"/>
    <mergeCell ref="A169:G169"/>
    <mergeCell ref="A77:G77"/>
    <mergeCell ref="A111:G111"/>
    <mergeCell ref="A143:G143"/>
    <mergeCell ref="A173:G173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2024-03-06T13:50:51Z</dcterms:modified>
</cp:coreProperties>
</file>