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Отчеты за 2023 г ГЖИ\"/>
    </mc:Choice>
  </mc:AlternateContent>
  <bookViews>
    <workbookView xWindow="0" yWindow="0" windowWidth="20490" windowHeight="7455"/>
  </bookViews>
  <sheets>
    <sheet name="Титульный" sheetId="1" r:id="rId1"/>
  </sheets>
  <definedNames>
    <definedName name="cat" localSheetId="0">Титульный!#REF!</definedName>
    <definedName name="invnum" localSheetId="0">Титульный!#REF!</definedName>
  </definedNames>
  <calcPr calcId="152511"/>
</workbook>
</file>

<file path=xl/calcChain.xml><?xml version="1.0" encoding="utf-8"?>
<calcChain xmlns="http://schemas.openxmlformats.org/spreadsheetml/2006/main">
  <c r="I151" i="1" l="1"/>
  <c r="I149" i="1"/>
  <c r="I137" i="1"/>
  <c r="I124" i="1"/>
  <c r="I112" i="1"/>
  <c r="I103" i="1"/>
  <c r="F43" i="1"/>
  <c r="H43" i="1" s="1"/>
  <c r="H147" i="1"/>
  <c r="I147" i="1" s="1"/>
  <c r="F132" i="1"/>
  <c r="H132" i="1" s="1"/>
  <c r="F94" i="1"/>
  <c r="F123" i="1"/>
  <c r="H123" i="1" s="1"/>
  <c r="F105" i="1"/>
  <c r="H105" i="1" s="1"/>
  <c r="H66" i="1"/>
  <c r="F8" i="1"/>
  <c r="H8" i="1" s="1"/>
  <c r="I8" i="1" s="1"/>
  <c r="F32" i="1"/>
  <c r="H32" i="1" s="1"/>
  <c r="F117" i="1"/>
  <c r="H117" i="1" s="1"/>
  <c r="F119" i="1"/>
  <c r="H119" i="1" s="1"/>
  <c r="H120" i="1"/>
  <c r="H118" i="1"/>
  <c r="I118" i="1" s="1"/>
  <c r="I43" i="1" l="1"/>
  <c r="H94" i="1"/>
  <c r="I94" i="1" s="1"/>
  <c r="H53" i="1"/>
  <c r="I53" i="1" l="1"/>
  <c r="H56" i="1"/>
  <c r="F55" i="1"/>
  <c r="F54" i="1"/>
  <c r="H54" i="1" s="1"/>
  <c r="F52" i="1"/>
  <c r="H52" i="1" s="1"/>
  <c r="F51" i="1"/>
  <c r="H51" i="1" s="1"/>
  <c r="F121" i="1"/>
  <c r="H121" i="1" s="1"/>
  <c r="F107" i="1"/>
  <c r="H107" i="1" s="1"/>
  <c r="H42" i="1"/>
  <c r="I42" i="1" s="1"/>
  <c r="F72" i="1"/>
  <c r="H72" i="1" s="1"/>
  <c r="F71" i="1"/>
  <c r="F70" i="1"/>
  <c r="H70" i="1" s="1"/>
  <c r="H71" i="1" l="1"/>
  <c r="I71" i="1" s="1"/>
  <c r="I107" i="1"/>
  <c r="I52" i="1"/>
  <c r="H55" i="1"/>
  <c r="I55" i="1" s="1"/>
  <c r="I70" i="1"/>
  <c r="I72" i="1"/>
  <c r="I51" i="1"/>
  <c r="I54" i="1"/>
  <c r="I56" i="1"/>
  <c r="I32" i="1"/>
  <c r="F25" i="1"/>
  <c r="H25" i="1" s="1"/>
  <c r="F27" i="1" l="1"/>
  <c r="H27" i="1" s="1"/>
  <c r="F24" i="1"/>
  <c r="H24" i="1" s="1"/>
  <c r="I24" i="1" s="1"/>
  <c r="F46" i="1"/>
  <c r="H46" i="1" s="1"/>
  <c r="F23" i="1"/>
  <c r="H23" i="1" s="1"/>
  <c r="F148" i="1"/>
  <c r="I148" i="1" s="1"/>
  <c r="F78" i="1"/>
  <c r="H78" i="1" s="1"/>
  <c r="F122" i="1"/>
  <c r="F69" i="1"/>
  <c r="H69" i="1" s="1"/>
  <c r="F67" i="1"/>
  <c r="H67" i="1" s="1"/>
  <c r="I27" i="1" l="1"/>
  <c r="H122" i="1"/>
  <c r="I122" i="1" s="1"/>
  <c r="I23" i="1"/>
  <c r="I46" i="1"/>
  <c r="F146" i="1"/>
  <c r="H146" i="1" s="1"/>
  <c r="F145" i="1"/>
  <c r="H145" i="1" s="1"/>
  <c r="F143" i="1" l="1"/>
  <c r="F144" i="1"/>
  <c r="H144" i="1" s="1"/>
  <c r="H50" i="1"/>
  <c r="I50" i="1" s="1"/>
  <c r="H49" i="1"/>
  <c r="I49" i="1" s="1"/>
  <c r="F48" i="1"/>
  <c r="H48" i="1" s="1"/>
  <c r="H133" i="1"/>
  <c r="I133" i="1" s="1"/>
  <c r="I132" i="1"/>
  <c r="I144" i="1" l="1"/>
  <c r="I48" i="1"/>
  <c r="I146" i="1"/>
  <c r="I25" i="1" l="1"/>
  <c r="I44" i="1"/>
  <c r="I63" i="1" s="1"/>
  <c r="I18" i="1"/>
  <c r="I105" i="1"/>
  <c r="I119" i="1"/>
  <c r="I39" i="1" l="1"/>
  <c r="I139" i="1"/>
  <c r="I78" i="1"/>
  <c r="I117" i="1"/>
  <c r="I131" i="1"/>
  <c r="I130" i="1"/>
  <c r="I120" i="1" l="1"/>
  <c r="I69" i="1"/>
  <c r="I123" i="1" l="1"/>
  <c r="I140" i="1"/>
  <c r="I141" i="1" s="1"/>
  <c r="I66" i="1" l="1"/>
  <c r="I67" i="1" l="1"/>
  <c r="I85" i="1" s="1"/>
  <c r="I121" i="1"/>
  <c r="I145" i="1" l="1"/>
  <c r="I143" i="1"/>
  <c r="I127" i="1"/>
  <c r="I128" i="1" s="1"/>
  <c r="I150" i="1" l="1"/>
</calcChain>
</file>

<file path=xl/sharedStrings.xml><?xml version="1.0" encoding="utf-8"?>
<sst xmlns="http://schemas.openxmlformats.org/spreadsheetml/2006/main" count="634" uniqueCount="221">
  <si>
    <t>кровельное покрытие</t>
  </si>
  <si>
    <t>свесы</t>
  </si>
  <si>
    <t>желоба</t>
  </si>
  <si>
    <t>защитные ограждения</t>
  </si>
  <si>
    <t>стропильная система</t>
  </si>
  <si>
    <t>выходы на чердак</t>
  </si>
  <si>
    <t>устройства защиты вентиляционных каналов и дымоходов от осадков</t>
  </si>
  <si>
    <t>наружный водосток</t>
  </si>
  <si>
    <t>водоотводящие лотки и отводы от здания</t>
  </si>
  <si>
    <t>цоколь</t>
  </si>
  <si>
    <t>отмостка</t>
  </si>
  <si>
    <t>приямки</t>
  </si>
  <si>
    <t>крыльца</t>
  </si>
  <si>
    <t>архитектурная отделка</t>
  </si>
  <si>
    <t>плиты балконов и лоджий</t>
  </si>
  <si>
    <t>ограждение балконов и лоджий</t>
  </si>
  <si>
    <t>подъездные козырьки</t>
  </si>
  <si>
    <t>межпанельные швы</t>
  </si>
  <si>
    <t>пожарные лестницы</t>
  </si>
  <si>
    <t>таблички (адресные, подъездные)</t>
  </si>
  <si>
    <t>теплоизоляция трубопроводов</t>
  </si>
  <si>
    <t>общедомовые приборы учета</t>
  </si>
  <si>
    <t>ливневая канализация</t>
  </si>
  <si>
    <t>вводное распределительное устройство</t>
  </si>
  <si>
    <t>щит распределительный этажный</t>
  </si>
  <si>
    <t xml:space="preserve">вентиляционные установки </t>
  </si>
  <si>
    <t>дефлекторы</t>
  </si>
  <si>
    <t>зонты над шахтами</t>
  </si>
  <si>
    <t>антикоррозионная окраска металлических вытяжных каналов, труб, поддонов и дефлекторов</t>
  </si>
  <si>
    <t>отопительные приборы мест общего пользования</t>
  </si>
  <si>
    <t>м/п</t>
  </si>
  <si>
    <t>шт</t>
  </si>
  <si>
    <t>восстановление лотков</t>
  </si>
  <si>
    <t>восстановление поврежденных участков</t>
  </si>
  <si>
    <t>восстановление герметичности и комплектности (воронки, звенья, отметы)</t>
  </si>
  <si>
    <t>окраска поверхности цоколя</t>
  </si>
  <si>
    <t>установка решеток и зонтов</t>
  </si>
  <si>
    <t>ремонт/частичная замена деревянных конструкций</t>
  </si>
  <si>
    <t>ремонт/частичная замена конструкций</t>
  </si>
  <si>
    <t>ремонт/частичная замена поврежденных участков</t>
  </si>
  <si>
    <t>очистка от мусора и окраска ограждений</t>
  </si>
  <si>
    <t>восстановление поврежденного слоя</t>
  </si>
  <si>
    <t>восстановление и окраска ограждений</t>
  </si>
  <si>
    <t>ремонт элементов и окраска поверхностей</t>
  </si>
  <si>
    <t>восстановление герметизации швов</t>
  </si>
  <si>
    <t>укрепление и окраска лестниц</t>
  </si>
  <si>
    <t>ремонт ( в т.ч. установка маяков для наблюдения при наличии трещин)</t>
  </si>
  <si>
    <t>ремонт и окраска</t>
  </si>
  <si>
    <t>ремонт и окраска конструкций</t>
  </si>
  <si>
    <t>дверные заполнения в МОП</t>
  </si>
  <si>
    <t>оконные заполнения в МОП</t>
  </si>
  <si>
    <t>восстановление ступеней, ограждений и перил</t>
  </si>
  <si>
    <t>ремонт, прочистка, восстановление герметичности</t>
  </si>
  <si>
    <t>кв.м</t>
  </si>
  <si>
    <t>шт.</t>
  </si>
  <si>
    <t>наружные стены</t>
  </si>
  <si>
    <t>фасад</t>
  </si>
  <si>
    <t>колонны и столбы</t>
  </si>
  <si>
    <t>перекрытия</t>
  </si>
  <si>
    <t>внутренние стены</t>
  </si>
  <si>
    <t>балки (ригели) перекрытий и покрытий</t>
  </si>
  <si>
    <t>лестницы</t>
  </si>
  <si>
    <t>мусоропроводы</t>
  </si>
  <si>
    <t>внутренний водосток</t>
  </si>
  <si>
    <t>ремонт поврежденных элементов, промывка ствола м/пр и мусорокамер</t>
  </si>
  <si>
    <t>почтовые ящики</t>
  </si>
  <si>
    <t>внутридомовые газопроводы</t>
  </si>
  <si>
    <t>центральное отопление</t>
  </si>
  <si>
    <t>восстановление теплоизоляции</t>
  </si>
  <si>
    <t>установка КИП и ревизия запорной арматуры</t>
  </si>
  <si>
    <t>контроль исправности и соблюдение сроков поверки</t>
  </si>
  <si>
    <t>горячее водоснабжение</t>
  </si>
  <si>
    <t>холодное водоснабжение</t>
  </si>
  <si>
    <t>система водоотведения (канализация)</t>
  </si>
  <si>
    <t>восстановление(укрепление) и окраска элементов</t>
  </si>
  <si>
    <t xml:space="preserve">ремонт инженерного оборудования </t>
  </si>
  <si>
    <t>прочистка и проверка защитных решеток</t>
  </si>
  <si>
    <t>обеспечение закрытия на замок</t>
  </si>
  <si>
    <t>электрооборудование</t>
  </si>
  <si>
    <t>дымоходы и вентиляционные каналы</t>
  </si>
  <si>
    <t>Типовые расценки (за единицу)</t>
  </si>
  <si>
    <t>Единица измерения</t>
  </si>
  <si>
    <t>Наименование элемента общего имущества в МКД</t>
  </si>
  <si>
    <t>задвижки и прочая запорная арматура</t>
  </si>
  <si>
    <t>ВДГО</t>
  </si>
  <si>
    <t>антикоррозионная окраска, устранение посторонних предметов на г/пр, ремонт креплений</t>
  </si>
  <si>
    <t>подъезд</t>
  </si>
  <si>
    <t>ремонт дверей/люков, закрытие на замок</t>
  </si>
  <si>
    <t>кровля</t>
  </si>
  <si>
    <t>технические помещения</t>
  </si>
  <si>
    <t>кв.м.</t>
  </si>
  <si>
    <t>подвал,чердак</t>
  </si>
  <si>
    <t>горизонтальные и вертикальные  трубопроводы</t>
  </si>
  <si>
    <t>частичный ремонт, окраска</t>
  </si>
  <si>
    <t xml:space="preserve">обеспечение безопасности (ограждение сигнальной лентой) и частичный ремонт </t>
  </si>
  <si>
    <t>ремонт ( в т.ч. установка маяков для наблюдения при наличии трещин), окраска</t>
  </si>
  <si>
    <t>восстановление и укрепление табличек</t>
  </si>
  <si>
    <t>Приложение № _____к протоколу общего собрания собственников*  № ______ от «______» ____________ 20___ г.</t>
  </si>
  <si>
    <t>горизонтальные и вертикальные  трубопроводы (в т.ч отдельные элементы)</t>
  </si>
  <si>
    <t>ИНЫЕ РАБОТЫ</t>
  </si>
  <si>
    <t>ремонт и окраска окон (восстановление фурнитуры и остекления)</t>
  </si>
  <si>
    <t>Виды работ по текущему ремонту</t>
  </si>
  <si>
    <t>Фактическая стоимость ремонта</t>
  </si>
  <si>
    <t>Фактический объем ремонта</t>
  </si>
  <si>
    <t>Дата завершения ремонта</t>
  </si>
  <si>
    <t>Планируемый объем ремонта</t>
  </si>
  <si>
    <t xml:space="preserve">*-Отчет о выполнении работ может также утверждаться советом многоквартирного дома, если он ранее наделен таким полномочием на общем собрании собственников
</t>
  </si>
  <si>
    <t>смена ламп светодиодных</t>
  </si>
  <si>
    <t>осмотр линий электрических сетей,арматуры и электрооборудования на л/клетках</t>
  </si>
  <si>
    <t>л/ клеток</t>
  </si>
  <si>
    <t>техническое обслуживание внутридомового газового оборудования</t>
  </si>
  <si>
    <t>дом</t>
  </si>
  <si>
    <t>проверка герметичности,промывка и гидравлические испытания системы отопления до 50мм</t>
  </si>
  <si>
    <t>проверка герметичности,промывка и гидравлические испытания системы отопления до 100мм</t>
  </si>
  <si>
    <t>м2</t>
  </si>
  <si>
    <t>очистка канализационной сети внутренней</t>
  </si>
  <si>
    <t>квартиры</t>
  </si>
  <si>
    <t>1,2,3,4 квартал</t>
  </si>
  <si>
    <t>Смена замков</t>
  </si>
  <si>
    <t>3 квартал</t>
  </si>
  <si>
    <t>восстановление температурно-влажностного режима, обработка от грызунов и насекомых, отсутствие захламления помещений (дератизация)</t>
  </si>
  <si>
    <t>очистка кровли от снега</t>
  </si>
  <si>
    <t>4 квартал</t>
  </si>
  <si>
    <t>смена трубопроводов из полиэтиленовых труб диам. 100мм</t>
  </si>
  <si>
    <t>2 квартал</t>
  </si>
  <si>
    <t>1,4 квартал</t>
  </si>
  <si>
    <t>осмотр линий электрических сетей, арматуры и электрооборудования на л/клетках</t>
  </si>
  <si>
    <t>осмотр системы центрального отопления</t>
  </si>
  <si>
    <t>лестничные клетки МОП</t>
  </si>
  <si>
    <t>смена светильников со светодиодными лампами</t>
  </si>
  <si>
    <t>осмотр горячего водоснабжения</t>
  </si>
  <si>
    <t>осмотр системы водоотведения</t>
  </si>
  <si>
    <t>периодическая проверка вентиляционных каналов</t>
  </si>
  <si>
    <t xml:space="preserve"> вентиляционные каналы</t>
  </si>
  <si>
    <t>установка манометров</t>
  </si>
  <si>
    <t>механизированная обработка придомовой территории ПСС</t>
  </si>
  <si>
    <t>раз</t>
  </si>
  <si>
    <t>услуги экскаватора-погрузчика,самосвала, погрузка и вывоз снега с придомовой территории</t>
  </si>
  <si>
    <t>м3</t>
  </si>
  <si>
    <t>мин</t>
  </si>
  <si>
    <t>каналов</t>
  </si>
  <si>
    <t>−</t>
  </si>
  <si>
    <t>контроль исправности оборудования и ремонт силового предохранительного шкафа</t>
  </si>
  <si>
    <t>гидропневматическая,гидрохимическая промывка теплообменников</t>
  </si>
  <si>
    <t>наличие и герметичность приборов отопления</t>
  </si>
  <si>
    <t>услуга</t>
  </si>
  <si>
    <t>установка решеток на приямки</t>
  </si>
  <si>
    <t>кг</t>
  </si>
  <si>
    <t>м</t>
  </si>
  <si>
    <t>благоустройство</t>
  </si>
  <si>
    <t>установка насосов</t>
  </si>
  <si>
    <t>сгон</t>
  </si>
  <si>
    <t>1 врезка</t>
  </si>
  <si>
    <t>ремонт/частичная замена поврежденных участков при помощи альпинистов</t>
  </si>
  <si>
    <t>очистка канализационной сети дворовой</t>
  </si>
  <si>
    <t>ремонт приемного клапана мусоропровода</t>
  </si>
  <si>
    <t>МОП</t>
  </si>
  <si>
    <t>смена вентилей и клапанов обратных муфтовых диам. до 20мм</t>
  </si>
  <si>
    <t>смена вентилей и клапанов обратных муфтовых диам. до 32мм</t>
  </si>
  <si>
    <t>усиление сварных швов наплавкой</t>
  </si>
  <si>
    <t>1м шва</t>
  </si>
  <si>
    <t>смена автоматов одно-,двух-,трехполюсных,установленных на конструкциях</t>
  </si>
  <si>
    <t>смена кабелей двух-четырехжильных</t>
  </si>
  <si>
    <t>ремонт штукатурки гладких фасадов по камню и бетону</t>
  </si>
  <si>
    <t>врезка в действующие сети трубопроводов отопления и водоснабжения диам. 32мм</t>
  </si>
  <si>
    <t>смена сгонов у трубопроводов диам. 32мм</t>
  </si>
  <si>
    <t>врезка в действующие сети трубопроводов отопления и водоснабжения диам. 20мм</t>
  </si>
  <si>
    <t>установка кранов шаровых на трубопроводах из стальных труб диам.65мм</t>
  </si>
  <si>
    <t>установка фланцевых соединений на стальных трубопроводах диам. 65мм</t>
  </si>
  <si>
    <t>соед.</t>
  </si>
  <si>
    <t>разборка трубопроводов из водогазопроводных труб диам. до 32мм</t>
  </si>
  <si>
    <t>сборка узла трубопровода водоснабжения и отопления из многослойного полипропилена,армированного стекловолокном,раструбная сварка наружный диам.25мм</t>
  </si>
  <si>
    <t>смена внутренних трубопроводов с заготовкой труб в построечных условиях диам. 20мм</t>
  </si>
  <si>
    <t>смена внутренних трубопроводов с заготовкой труб в построечных условиях диам. 32мм</t>
  </si>
  <si>
    <t>смена внутренних трубопроводов с заготовкой труб в построечных условиях диам. 50мм</t>
  </si>
  <si>
    <t>прочистка фильтров диам. 50мм</t>
  </si>
  <si>
    <t>водоотлив из подвала электрическими нососами</t>
  </si>
  <si>
    <t>водоотлив из подвала ведрами</t>
  </si>
  <si>
    <t xml:space="preserve"> смена кранов на шаровые краны диам.25,32мм</t>
  </si>
  <si>
    <t>смена сгонов у трубопроводов диам. 20мм</t>
  </si>
  <si>
    <t>ремонт межпанельных швов без вскрытия</t>
  </si>
  <si>
    <t>ремонт мягкого покрытия кровли в 1 слой</t>
  </si>
  <si>
    <t>осмотр холодного водоснабжения</t>
  </si>
  <si>
    <t>периодическая проверка дымовых каналов</t>
  </si>
  <si>
    <t>ремонт и окраска дверей (восстановление фурнитуры и остекления) проушины</t>
  </si>
  <si>
    <t>выполнение работ по ремонту и восстановлению водосточных труб</t>
  </si>
  <si>
    <t xml:space="preserve">восстановление и окраска элементов крылец;замена плиток </t>
  </si>
  <si>
    <t xml:space="preserve"> смена кранов на шаровые краны диам.15,25,32мм</t>
  </si>
  <si>
    <t>ремонт и восстановление уплотнения стыков прокладками ПРП в 1 ряд насухо</t>
  </si>
  <si>
    <t>ремонт слуховых окон</t>
  </si>
  <si>
    <t>обшивка дверей фанерой</t>
  </si>
  <si>
    <t>Всего:</t>
  </si>
  <si>
    <t xml:space="preserve">
Отчет о выполнении работ по текущему ремонту общего имущества 
в многоквартирном доме по адресу: г.Щёлково, ул.Парковая, дом 3  на 2023 г.
</t>
  </si>
  <si>
    <t>сверление отверстий</t>
  </si>
  <si>
    <t>1 квартал</t>
  </si>
  <si>
    <t>прокладка внутренних трубопроводов из полипропиленовых труб для вентиляции</t>
  </si>
  <si>
    <t>м.п.</t>
  </si>
  <si>
    <t>механизированная уборка снега на придомовой территории JSB</t>
  </si>
  <si>
    <t>механизированная уборка снега на придомовой территории МТЗ</t>
  </si>
  <si>
    <t>ремонт внутренней поверхности кирпичных стен при глубине заделки в 1/2 кирпича площадью в одном месте более 1м2</t>
  </si>
  <si>
    <t>армирование кладки стен и других конструкций</t>
  </si>
  <si>
    <t>ремонт штукатурки внутренних стен по камню и бетону</t>
  </si>
  <si>
    <t>смена ламп накаливания</t>
  </si>
  <si>
    <t>справка о техническом состоянии здания</t>
  </si>
  <si>
    <t>огрунтовка ранее окрашенных фасадов</t>
  </si>
  <si>
    <t>смена стекол</t>
  </si>
  <si>
    <t>устройство стяжек цементных</t>
  </si>
  <si>
    <t>простая масляная окраска ранее окрашенных фасадов без подготовки с расчисткой старой краски до 10%</t>
  </si>
  <si>
    <t>укрепление оконных и дверных коробок без конопатки</t>
  </si>
  <si>
    <t>очистка вручную поверхности от перхлорвиниловых красок с земли и лесов</t>
  </si>
  <si>
    <t>грунтование поверхностей антиплесень защита</t>
  </si>
  <si>
    <t>окраска водно-дисперсионными акриловыми составами улучшенная по штукатурке потолков</t>
  </si>
  <si>
    <t>покрытие поверхностей грунтовкой глубокого проникновения за 1 раз стен</t>
  </si>
  <si>
    <t>окраска водно-дисперсионными акриловыми составами улучшенная по штукатурке стен</t>
  </si>
  <si>
    <t>покрытие поверхностей грунтовкой глубокого проникновения за 1 раз потолков</t>
  </si>
  <si>
    <t>прокладка внутренних трубопроводов водоснабжения и отопления из полипропиленовых труб:диам. 25мм</t>
  </si>
  <si>
    <t>коробка распаечная</t>
  </si>
  <si>
    <t>короба пластмассовые шириной до 40мм</t>
  </si>
  <si>
    <t>монтаж снегозадержателя</t>
  </si>
  <si>
    <t>сверление отверстий с установкой стендов</t>
  </si>
  <si>
    <t>Текущий ремонт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</si>
</sst>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Calibri"/>
      <family val="2"/>
      <charset val="204"/>
    </font>
    <font>
      <b/>
      <sz val="12"/>
      <color theme="1"/>
      <name val="Times New Roman"/>
      <family val="1"/>
      <charset val="204"/>
    </font>
    <font>
      <sz val="12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3" fillId="0" borderId="0" xfId="0" applyFont="1"/>
    <xf numFmtId="0" fontId="1" fillId="0" borderId="0" xfId="0" applyFont="1"/>
    <xf numFmtId="0" fontId="2" fillId="0" borderId="1" xfId="0" applyFont="1" applyBorder="1" applyAlignment="1">
      <alignment horizontal="center" vertical="center"/>
    </xf>
    <xf numFmtId="0" fontId="1" fillId="0" borderId="4" xfId="0" applyFont="1" applyBorder="1" applyAlignment="1"/>
    <xf numFmtId="0" fontId="1" fillId="0" borderId="1" xfId="0" applyFont="1" applyBorder="1" applyAlignment="1"/>
    <xf numFmtId="0" fontId="4" fillId="0" borderId="1" xfId="0" applyFont="1" applyBorder="1" applyAlignment="1">
      <alignment wrapText="1"/>
    </xf>
    <xf numFmtId="0" fontId="4" fillId="0" borderId="1" xfId="0" applyFont="1" applyBorder="1"/>
    <xf numFmtId="0" fontId="0" fillId="0" borderId="1" xfId="0" applyBorder="1"/>
    <xf numFmtId="0" fontId="4" fillId="0" borderId="1" xfId="0" applyFont="1" applyBorder="1" applyAlignment="1">
      <alignment vertical="top" wrapText="1"/>
    </xf>
    <xf numFmtId="0" fontId="2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4" xfId="0" applyFont="1" applyBorder="1" applyAlignment="1">
      <alignment wrapText="1"/>
    </xf>
    <xf numFmtId="0" fontId="1" fillId="0" borderId="0" xfId="0" applyFont="1" applyAlignment="1"/>
    <xf numFmtId="0" fontId="3" fillId="0" borderId="0" xfId="0" applyFont="1" applyAlignment="1"/>
    <xf numFmtId="0" fontId="5" fillId="0" borderId="4" xfId="0" applyFont="1" applyBorder="1" applyAlignment="1">
      <alignment horizontal="center" wrapText="1"/>
    </xf>
    <xf numFmtId="0" fontId="5" fillId="0" borderId="4" xfId="0" applyFont="1" applyBorder="1" applyAlignment="1">
      <alignment horizontal="center"/>
    </xf>
    <xf numFmtId="0" fontId="4" fillId="0" borderId="6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3" xfId="0" applyFont="1" applyBorder="1" applyAlignment="1"/>
    <xf numFmtId="0" fontId="1" fillId="0" borderId="2" xfId="0" applyFont="1" applyBorder="1" applyAlignment="1">
      <alignment wrapText="1"/>
    </xf>
    <xf numFmtId="0" fontId="5" fillId="0" borderId="1" xfId="0" applyFont="1" applyBorder="1" applyAlignment="1">
      <alignment horizontal="center"/>
    </xf>
    <xf numFmtId="0" fontId="1" fillId="0" borderId="1" xfId="0" applyFont="1" applyBorder="1"/>
    <xf numFmtId="0" fontId="5" fillId="0" borderId="2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top" wrapText="1"/>
    </xf>
    <xf numFmtId="0" fontId="4" fillId="0" borderId="2" xfId="0" applyFont="1" applyBorder="1" applyAlignment="1">
      <alignment wrapText="1"/>
    </xf>
    <xf numFmtId="0" fontId="4" fillId="0" borderId="3" xfId="0" applyFont="1" applyBorder="1" applyAlignment="1">
      <alignment wrapText="1"/>
    </xf>
    <xf numFmtId="0" fontId="1" fillId="0" borderId="3" xfId="0" applyFont="1" applyBorder="1" applyAlignment="1">
      <alignment wrapText="1"/>
    </xf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7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wrapText="1"/>
    </xf>
    <xf numFmtId="0" fontId="8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center"/>
    </xf>
    <xf numFmtId="2" fontId="8" fillId="0" borderId="4" xfId="0" applyNumberFormat="1" applyFont="1" applyBorder="1" applyAlignment="1">
      <alignment horizontal="center" vertical="center" wrapText="1"/>
    </xf>
    <xf numFmtId="0" fontId="1" fillId="0" borderId="4" xfId="0" applyFont="1" applyBorder="1" applyAlignment="1">
      <alignment horizontal="left" wrapText="1"/>
    </xf>
    <xf numFmtId="0" fontId="5" fillId="0" borderId="4" xfId="0" applyFont="1" applyBorder="1" applyAlignment="1">
      <alignment horizontal="center"/>
    </xf>
    <xf numFmtId="0" fontId="8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vertical="top" wrapText="1"/>
    </xf>
    <xf numFmtId="0" fontId="0" fillId="0" borderId="3" xfId="0" applyBorder="1"/>
    <xf numFmtId="0" fontId="1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17" fontId="1" fillId="0" borderId="3" xfId="0" applyNumberFormat="1" applyFont="1" applyBorder="1" applyAlignment="1">
      <alignment horizontal="center" vertical="center"/>
    </xf>
    <xf numFmtId="2" fontId="8" fillId="0" borderId="3" xfId="0" applyNumberFormat="1" applyFont="1" applyBorder="1" applyAlignment="1">
      <alignment horizontal="center" vertical="center" wrapText="1"/>
    </xf>
    <xf numFmtId="0" fontId="9" fillId="0" borderId="1" xfId="0" applyFont="1" applyBorder="1"/>
    <xf numFmtId="2" fontId="9" fillId="0" borderId="1" xfId="0" applyNumberFormat="1" applyFont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left"/>
    </xf>
    <xf numFmtId="0" fontId="9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 vertical="center" wrapText="1"/>
    </xf>
    <xf numFmtId="2" fontId="8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left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 wrapText="1"/>
    </xf>
    <xf numFmtId="0" fontId="5" fillId="0" borderId="2" xfId="0" applyFont="1" applyBorder="1" applyAlignment="1">
      <alignment horizontal="center" wrapText="1"/>
    </xf>
    <xf numFmtId="0" fontId="5" fillId="0" borderId="3" xfId="0" applyFont="1" applyBorder="1" applyAlignment="1">
      <alignment horizontal="center" wrapText="1"/>
    </xf>
    <xf numFmtId="0" fontId="5" fillId="0" borderId="4" xfId="0" applyFont="1" applyBorder="1" applyAlignment="1">
      <alignment horizontal="center" wrapText="1"/>
    </xf>
    <xf numFmtId="0" fontId="5" fillId="0" borderId="2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top" wrapText="1"/>
    </xf>
    <xf numFmtId="0" fontId="5" fillId="0" borderId="4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78"/>
  <sheetViews>
    <sheetView tabSelected="1" topLeftCell="A147" zoomScale="91" zoomScaleNormal="91" workbookViewId="0">
      <selection activeCell="J159" sqref="J159"/>
    </sheetView>
  </sheetViews>
  <sheetFormatPr defaultColWidth="8.85546875" defaultRowHeight="15" x14ac:dyDescent="0.25"/>
  <cols>
    <col min="1" max="1" width="53.140625" style="1" customWidth="1"/>
    <col min="2" max="2" width="16.28515625" style="1" hidden="1" customWidth="1"/>
    <col min="3" max="3" width="11.28515625" style="1" hidden="1" customWidth="1"/>
    <col min="4" max="4" width="48.5703125" style="17" customWidth="1"/>
    <col min="5" max="5" width="15.85546875" style="17" customWidth="1"/>
    <col min="6" max="6" width="14.5703125" style="1" customWidth="1"/>
    <col min="7" max="8" width="14.28515625" style="1" customWidth="1"/>
    <col min="9" max="9" width="21.85546875" style="1" customWidth="1"/>
    <col min="10" max="10" width="23.85546875" style="1" customWidth="1"/>
    <col min="11" max="16384" width="8.85546875" style="1"/>
  </cols>
  <sheetData>
    <row r="1" spans="1:12" ht="51.75" customHeight="1" x14ac:dyDescent="0.25">
      <c r="I1" s="70" t="s">
        <v>97</v>
      </c>
      <c r="J1" s="70"/>
    </row>
    <row r="2" spans="1:12" ht="70.5" customHeight="1" x14ac:dyDescent="0.25">
      <c r="A2" s="65" t="s">
        <v>192</v>
      </c>
      <c r="B2" s="66"/>
      <c r="C2" s="66"/>
      <c r="D2" s="66"/>
      <c r="E2" s="66"/>
      <c r="F2" s="66"/>
      <c r="G2" s="66"/>
      <c r="H2" s="66"/>
      <c r="I2" s="66"/>
      <c r="J2" s="66"/>
      <c r="K2" s="2"/>
      <c r="L2" s="2"/>
    </row>
    <row r="3" spans="1:12" ht="75" x14ac:dyDescent="0.25">
      <c r="A3" s="20" t="s">
        <v>82</v>
      </c>
      <c r="B3" s="3"/>
      <c r="C3" s="3"/>
      <c r="D3" s="20" t="s">
        <v>101</v>
      </c>
      <c r="E3" s="20" t="s">
        <v>105</v>
      </c>
      <c r="F3" s="21" t="s">
        <v>103</v>
      </c>
      <c r="G3" s="21" t="s">
        <v>81</v>
      </c>
      <c r="H3" s="21" t="s">
        <v>80</v>
      </c>
      <c r="I3" s="21" t="s">
        <v>102</v>
      </c>
      <c r="J3" s="21" t="s">
        <v>104</v>
      </c>
      <c r="K3" s="2"/>
      <c r="L3" s="2"/>
    </row>
    <row r="4" spans="1:12" ht="18.75" x14ac:dyDescent="0.3">
      <c r="A4" s="71" t="s">
        <v>88</v>
      </c>
      <c r="B4" s="72"/>
      <c r="C4" s="72"/>
      <c r="D4" s="72"/>
      <c r="E4" s="72"/>
      <c r="F4" s="72"/>
      <c r="G4" s="73"/>
      <c r="H4" s="10"/>
      <c r="I4" s="10"/>
      <c r="J4" s="11"/>
      <c r="K4" s="2"/>
      <c r="L4" s="2"/>
    </row>
    <row r="5" spans="1:12" ht="18.75" x14ac:dyDescent="0.3">
      <c r="A5" s="6" t="s">
        <v>0</v>
      </c>
      <c r="B5" s="5"/>
      <c r="C5" s="4"/>
      <c r="D5" s="15" t="s">
        <v>181</v>
      </c>
      <c r="E5" s="41" t="s">
        <v>141</v>
      </c>
      <c r="F5" s="41" t="s">
        <v>141</v>
      </c>
      <c r="G5" s="13" t="s">
        <v>114</v>
      </c>
      <c r="H5" s="41" t="s">
        <v>141</v>
      </c>
      <c r="I5" s="41" t="s">
        <v>141</v>
      </c>
      <c r="J5" s="13"/>
      <c r="K5" s="2"/>
      <c r="L5" s="2"/>
    </row>
    <row r="6" spans="1:12" ht="18.75" x14ac:dyDescent="0.3">
      <c r="A6" s="6"/>
      <c r="B6" s="5"/>
      <c r="C6" s="4"/>
      <c r="D6" s="15" t="s">
        <v>121</v>
      </c>
      <c r="E6" s="41"/>
      <c r="F6" s="41"/>
      <c r="G6" s="13" t="s">
        <v>114</v>
      </c>
      <c r="H6" s="41"/>
      <c r="I6" s="41"/>
      <c r="J6" s="13"/>
      <c r="K6" s="2"/>
      <c r="L6" s="2"/>
    </row>
    <row r="7" spans="1:12" ht="18.75" x14ac:dyDescent="0.3">
      <c r="A7" s="6"/>
      <c r="B7" s="5"/>
      <c r="C7" s="4"/>
      <c r="D7" s="15" t="s">
        <v>189</v>
      </c>
      <c r="E7" s="41"/>
      <c r="F7" s="41"/>
      <c r="G7" s="13" t="s">
        <v>31</v>
      </c>
      <c r="H7" s="41"/>
      <c r="I7" s="41"/>
      <c r="J7" s="13"/>
      <c r="K7" s="2"/>
      <c r="L7" s="2"/>
    </row>
    <row r="8" spans="1:12" ht="18.75" x14ac:dyDescent="0.3">
      <c r="A8" s="6"/>
      <c r="B8" s="5"/>
      <c r="C8" s="4"/>
      <c r="D8" s="15" t="s">
        <v>218</v>
      </c>
      <c r="E8" s="41"/>
      <c r="F8" s="41">
        <f>1.5</f>
        <v>1.5</v>
      </c>
      <c r="G8" s="13" t="s">
        <v>148</v>
      </c>
      <c r="H8" s="45">
        <f>65/F8</f>
        <v>43.333333333333336</v>
      </c>
      <c r="I8" s="57">
        <f>F8*H8</f>
        <v>65</v>
      </c>
      <c r="J8" s="13" t="s">
        <v>122</v>
      </c>
      <c r="K8" s="2"/>
      <c r="L8" s="2"/>
    </row>
    <row r="9" spans="1:12" ht="35.25" customHeight="1" x14ac:dyDescent="0.3">
      <c r="A9" s="6" t="s">
        <v>1</v>
      </c>
      <c r="B9" s="5"/>
      <c r="C9" s="4"/>
      <c r="D9" s="15" t="s">
        <v>153</v>
      </c>
      <c r="E9" s="41" t="s">
        <v>141</v>
      </c>
      <c r="F9" s="41" t="s">
        <v>141</v>
      </c>
      <c r="G9" s="13" t="s">
        <v>30</v>
      </c>
      <c r="H9" s="41" t="s">
        <v>141</v>
      </c>
      <c r="I9" s="41" t="s">
        <v>141</v>
      </c>
      <c r="J9" s="13"/>
      <c r="K9" s="2"/>
      <c r="L9" s="2"/>
    </row>
    <row r="10" spans="1:12" ht="28.5" customHeight="1" x14ac:dyDescent="0.3">
      <c r="A10" s="6" t="s">
        <v>2</v>
      </c>
      <c r="B10" s="5"/>
      <c r="C10" s="4"/>
      <c r="D10" s="15" t="s">
        <v>39</v>
      </c>
      <c r="E10" s="41" t="s">
        <v>141</v>
      </c>
      <c r="F10" s="41" t="s">
        <v>141</v>
      </c>
      <c r="G10" s="13" t="s">
        <v>30</v>
      </c>
      <c r="H10" s="41" t="s">
        <v>141</v>
      </c>
      <c r="I10" s="41" t="s">
        <v>141</v>
      </c>
      <c r="J10" s="13"/>
      <c r="K10" s="2"/>
      <c r="L10" s="2"/>
    </row>
    <row r="11" spans="1:12" ht="18.75" x14ac:dyDescent="0.3">
      <c r="A11" s="7" t="s">
        <v>3</v>
      </c>
      <c r="B11" s="5"/>
      <c r="C11" s="4"/>
      <c r="D11" s="15" t="s">
        <v>38</v>
      </c>
      <c r="E11" s="41" t="s">
        <v>141</v>
      </c>
      <c r="F11" s="41" t="s">
        <v>141</v>
      </c>
      <c r="G11" s="13" t="s">
        <v>30</v>
      </c>
      <c r="H11" s="41" t="s">
        <v>141</v>
      </c>
      <c r="I11" s="41" t="s">
        <v>141</v>
      </c>
      <c r="J11" s="13"/>
      <c r="K11" s="2"/>
      <c r="L11" s="2"/>
    </row>
    <row r="12" spans="1:12" ht="32.25" x14ac:dyDescent="0.3">
      <c r="A12" s="6" t="s">
        <v>4</v>
      </c>
      <c r="B12" s="5"/>
      <c r="C12" s="4"/>
      <c r="D12" s="15" t="s">
        <v>37</v>
      </c>
      <c r="E12" s="41" t="s">
        <v>141</v>
      </c>
      <c r="F12" s="41" t="s">
        <v>141</v>
      </c>
      <c r="G12" s="13" t="s">
        <v>30</v>
      </c>
      <c r="H12" s="41" t="s">
        <v>141</v>
      </c>
      <c r="I12" s="41" t="s">
        <v>141</v>
      </c>
      <c r="J12" s="13"/>
      <c r="K12" s="2"/>
      <c r="L12" s="2"/>
    </row>
    <row r="13" spans="1:12" ht="18.75" x14ac:dyDescent="0.3">
      <c r="A13" s="6" t="s">
        <v>5</v>
      </c>
      <c r="B13" s="5"/>
      <c r="C13" s="4"/>
      <c r="D13" s="4" t="s">
        <v>87</v>
      </c>
      <c r="E13" s="41" t="s">
        <v>141</v>
      </c>
      <c r="F13" s="41" t="s">
        <v>141</v>
      </c>
      <c r="G13" s="13" t="s">
        <v>31</v>
      </c>
      <c r="H13" s="41" t="s">
        <v>141</v>
      </c>
      <c r="I13" s="41" t="s">
        <v>141</v>
      </c>
      <c r="J13" s="13"/>
      <c r="K13" s="2"/>
      <c r="L13" s="2"/>
    </row>
    <row r="14" spans="1:12" ht="37.5" x14ac:dyDescent="0.3">
      <c r="A14" s="6" t="s">
        <v>6</v>
      </c>
      <c r="B14" s="5"/>
      <c r="C14" s="4"/>
      <c r="D14" s="4" t="s">
        <v>36</v>
      </c>
      <c r="E14" s="41" t="s">
        <v>141</v>
      </c>
      <c r="F14" s="41" t="s">
        <v>141</v>
      </c>
      <c r="G14" s="14" t="s">
        <v>31</v>
      </c>
      <c r="H14" s="41" t="s">
        <v>141</v>
      </c>
      <c r="I14" s="41" t="s">
        <v>141</v>
      </c>
      <c r="J14" s="13"/>
      <c r="K14" s="2"/>
      <c r="L14" s="2"/>
    </row>
    <row r="15" spans="1:12" ht="32.25" x14ac:dyDescent="0.3">
      <c r="A15" s="6" t="s">
        <v>63</v>
      </c>
      <c r="B15" s="5"/>
      <c r="C15" s="4"/>
      <c r="D15" s="15" t="s">
        <v>52</v>
      </c>
      <c r="E15" s="41" t="s">
        <v>141</v>
      </c>
      <c r="F15" s="41" t="s">
        <v>141</v>
      </c>
      <c r="G15" s="13" t="s">
        <v>30</v>
      </c>
      <c r="H15" s="41" t="s">
        <v>141</v>
      </c>
      <c r="I15" s="41" t="s">
        <v>141</v>
      </c>
      <c r="J15" s="13"/>
      <c r="L15" s="2"/>
    </row>
    <row r="16" spans="1:12" ht="32.25" x14ac:dyDescent="0.3">
      <c r="A16" s="6" t="s">
        <v>7</v>
      </c>
      <c r="B16" s="5"/>
      <c r="C16" s="4"/>
      <c r="D16" s="15" t="s">
        <v>34</v>
      </c>
      <c r="E16" s="41" t="s">
        <v>141</v>
      </c>
      <c r="F16" s="41" t="s">
        <v>141</v>
      </c>
      <c r="G16" s="13" t="s">
        <v>30</v>
      </c>
      <c r="H16" s="41" t="s">
        <v>141</v>
      </c>
      <c r="I16" s="41" t="s">
        <v>141</v>
      </c>
      <c r="J16" s="13"/>
      <c r="L16" s="2"/>
    </row>
    <row r="17" spans="1:12" ht="27" customHeight="1" x14ac:dyDescent="0.3">
      <c r="A17" s="6"/>
      <c r="B17" s="5"/>
      <c r="C17" s="4"/>
      <c r="D17" s="15" t="s">
        <v>185</v>
      </c>
      <c r="E17" s="41" t="s">
        <v>141</v>
      </c>
      <c r="F17" s="41" t="s">
        <v>141</v>
      </c>
      <c r="G17" s="13" t="s">
        <v>30</v>
      </c>
      <c r="H17" s="41" t="s">
        <v>141</v>
      </c>
      <c r="I17" s="41" t="s">
        <v>141</v>
      </c>
      <c r="J17" s="13"/>
      <c r="K17" s="2"/>
      <c r="L17" s="2"/>
    </row>
    <row r="18" spans="1:12" ht="27" customHeight="1" x14ac:dyDescent="0.3">
      <c r="A18" s="28"/>
      <c r="B18" s="22"/>
      <c r="C18" s="22"/>
      <c r="D18" s="30"/>
      <c r="E18" s="48"/>
      <c r="F18" s="48"/>
      <c r="G18" s="31"/>
      <c r="H18" s="41"/>
      <c r="I18" s="41">
        <f>SUM(I6:I17)</f>
        <v>65</v>
      </c>
      <c r="J18" s="13"/>
      <c r="K18" s="2"/>
      <c r="L18" s="2"/>
    </row>
    <row r="19" spans="1:12" ht="18.75" x14ac:dyDescent="0.3">
      <c r="A19" s="71" t="s">
        <v>56</v>
      </c>
      <c r="B19" s="72"/>
      <c r="C19" s="72"/>
      <c r="D19" s="72"/>
      <c r="E19" s="72"/>
      <c r="F19" s="72"/>
      <c r="G19" s="73"/>
      <c r="H19" s="14"/>
      <c r="I19" s="5"/>
      <c r="J19" s="13"/>
      <c r="L19" s="2"/>
    </row>
    <row r="20" spans="1:12" ht="18.75" x14ac:dyDescent="0.3">
      <c r="A20" s="6" t="s">
        <v>19</v>
      </c>
      <c r="B20" s="5"/>
      <c r="C20" s="4"/>
      <c r="D20" s="4" t="s">
        <v>96</v>
      </c>
      <c r="E20" s="41"/>
      <c r="F20" s="41"/>
      <c r="G20" s="14" t="s">
        <v>54</v>
      </c>
      <c r="H20" s="41"/>
      <c r="I20" s="41"/>
      <c r="J20" s="13"/>
      <c r="L20" s="2"/>
    </row>
    <row r="21" spans="1:12" ht="18.75" x14ac:dyDescent="0.3">
      <c r="A21" s="6" t="s">
        <v>13</v>
      </c>
      <c r="B21" s="5"/>
      <c r="C21" s="4"/>
      <c r="D21" s="4" t="s">
        <v>41</v>
      </c>
      <c r="E21" s="41"/>
      <c r="F21" s="41"/>
      <c r="G21" s="14" t="s">
        <v>53</v>
      </c>
      <c r="H21" s="41" t="s">
        <v>141</v>
      </c>
      <c r="I21" s="41" t="s">
        <v>141</v>
      </c>
      <c r="J21" s="13"/>
      <c r="L21" s="2"/>
    </row>
    <row r="22" spans="1:12" ht="18.75" x14ac:dyDescent="0.3">
      <c r="A22" s="6" t="s">
        <v>9</v>
      </c>
      <c r="B22" s="5"/>
      <c r="C22" s="4"/>
      <c r="D22" s="4" t="s">
        <v>35</v>
      </c>
      <c r="E22" s="41"/>
      <c r="F22" s="41"/>
      <c r="G22" s="14" t="s">
        <v>53</v>
      </c>
      <c r="H22" s="41" t="s">
        <v>141</v>
      </c>
      <c r="I22" s="41" t="s">
        <v>141</v>
      </c>
      <c r="J22" s="13"/>
      <c r="K22" s="2"/>
      <c r="L22" s="2"/>
    </row>
    <row r="23" spans="1:12" ht="18.75" x14ac:dyDescent="0.3">
      <c r="A23" s="6"/>
      <c r="B23" s="5"/>
      <c r="C23" s="4"/>
      <c r="D23" s="4" t="s">
        <v>204</v>
      </c>
      <c r="E23" s="41"/>
      <c r="F23" s="41">
        <f>9.26</f>
        <v>9.26</v>
      </c>
      <c r="G23" s="14" t="s">
        <v>114</v>
      </c>
      <c r="H23" s="45">
        <f>629.4/F23</f>
        <v>67.969762419006472</v>
      </c>
      <c r="I23" s="57">
        <f>F23*H23</f>
        <v>629.39999999999986</v>
      </c>
      <c r="J23" s="13" t="s">
        <v>119</v>
      </c>
      <c r="K23" s="2"/>
      <c r="L23" s="2"/>
    </row>
    <row r="24" spans="1:12" ht="32.25" x14ac:dyDescent="0.3">
      <c r="A24" s="6"/>
      <c r="B24" s="5"/>
      <c r="C24" s="4"/>
      <c r="D24" s="15" t="s">
        <v>163</v>
      </c>
      <c r="E24" s="41"/>
      <c r="F24" s="41">
        <f>9.26+12.1</f>
        <v>21.36</v>
      </c>
      <c r="G24" s="14" t="s">
        <v>90</v>
      </c>
      <c r="H24" s="45">
        <f>(10190.6+23673.8+18631)/F24</f>
        <v>2457.6498127340824</v>
      </c>
      <c r="I24" s="57">
        <f>F24*H24</f>
        <v>52495.4</v>
      </c>
      <c r="J24" s="13" t="s">
        <v>119</v>
      </c>
      <c r="K24" s="2"/>
      <c r="L24" s="2"/>
    </row>
    <row r="25" spans="1:12" ht="18.75" x14ac:dyDescent="0.3">
      <c r="A25" s="6" t="s">
        <v>10</v>
      </c>
      <c r="B25" s="5"/>
      <c r="C25" s="4"/>
      <c r="D25" s="4" t="s">
        <v>33</v>
      </c>
      <c r="E25" s="41"/>
      <c r="F25" s="41">
        <f>3+2</f>
        <v>5</v>
      </c>
      <c r="G25" s="14" t="s">
        <v>53</v>
      </c>
      <c r="H25" s="45">
        <f>(8269.6+5564.2)/F25</f>
        <v>2766.7599999999998</v>
      </c>
      <c r="I25" s="57">
        <f>F25*H25</f>
        <v>13833.8</v>
      </c>
      <c r="J25" s="13" t="s">
        <v>119</v>
      </c>
      <c r="K25" s="2"/>
      <c r="L25" s="2"/>
    </row>
    <row r="26" spans="1:12" ht="18.75" x14ac:dyDescent="0.3">
      <c r="A26" s="6" t="s">
        <v>11</v>
      </c>
      <c r="B26" s="5"/>
      <c r="C26" s="4"/>
      <c r="D26" s="4" t="s">
        <v>40</v>
      </c>
      <c r="E26" s="41" t="s">
        <v>141</v>
      </c>
      <c r="F26" s="41" t="s">
        <v>141</v>
      </c>
      <c r="G26" s="14" t="s">
        <v>53</v>
      </c>
      <c r="H26" s="41" t="s">
        <v>141</v>
      </c>
      <c r="I26" s="41" t="s">
        <v>141</v>
      </c>
      <c r="J26" s="13"/>
      <c r="K26" s="2"/>
      <c r="L26" s="2"/>
    </row>
    <row r="27" spans="1:12" ht="18.75" x14ac:dyDescent="0.3">
      <c r="A27" s="6"/>
      <c r="B27" s="5"/>
      <c r="C27" s="4"/>
      <c r="D27" s="4" t="s">
        <v>206</v>
      </c>
      <c r="E27" s="41"/>
      <c r="F27" s="41">
        <f>12</f>
        <v>12</v>
      </c>
      <c r="G27" s="14" t="s">
        <v>114</v>
      </c>
      <c r="H27" s="45">
        <f>6668.2/F27</f>
        <v>555.68333333333328</v>
      </c>
      <c r="I27" s="57">
        <f>F27*H27</f>
        <v>6668.1999999999989</v>
      </c>
      <c r="J27" s="13" t="s">
        <v>119</v>
      </c>
      <c r="K27" s="2"/>
      <c r="L27" s="2"/>
    </row>
    <row r="28" spans="1:12" ht="18.75" x14ac:dyDescent="0.3">
      <c r="A28" s="6"/>
      <c r="B28" s="5"/>
      <c r="C28" s="4"/>
      <c r="D28" s="4" t="s">
        <v>146</v>
      </c>
      <c r="E28" s="41" t="s">
        <v>141</v>
      </c>
      <c r="F28" s="41" t="s">
        <v>141</v>
      </c>
      <c r="G28" s="14" t="s">
        <v>147</v>
      </c>
      <c r="H28" s="41" t="s">
        <v>141</v>
      </c>
      <c r="I28" s="41" t="s">
        <v>141</v>
      </c>
      <c r="J28" s="13"/>
      <c r="K28" s="2"/>
      <c r="L28" s="2"/>
    </row>
    <row r="29" spans="1:12" ht="18.75" x14ac:dyDescent="0.3">
      <c r="A29" s="6" t="s">
        <v>8</v>
      </c>
      <c r="B29" s="5"/>
      <c r="C29" s="4"/>
      <c r="D29" s="4" t="s">
        <v>32</v>
      </c>
      <c r="E29" s="41" t="s">
        <v>141</v>
      </c>
      <c r="F29" s="41" t="s">
        <v>141</v>
      </c>
      <c r="G29" s="13" t="s">
        <v>30</v>
      </c>
      <c r="H29" s="41" t="s">
        <v>141</v>
      </c>
      <c r="I29" s="41" t="s">
        <v>141</v>
      </c>
      <c r="J29" s="13"/>
      <c r="K29" s="2"/>
      <c r="L29" s="2"/>
    </row>
    <row r="30" spans="1:12" ht="39" customHeight="1" x14ac:dyDescent="0.3">
      <c r="A30" s="6" t="s">
        <v>12</v>
      </c>
      <c r="B30" s="5"/>
      <c r="C30" s="4"/>
      <c r="D30" s="15" t="s">
        <v>186</v>
      </c>
      <c r="E30" s="41" t="s">
        <v>141</v>
      </c>
      <c r="F30" s="41" t="s">
        <v>141</v>
      </c>
      <c r="G30" s="14" t="s">
        <v>53</v>
      </c>
      <c r="H30" s="41" t="s">
        <v>141</v>
      </c>
      <c r="I30" s="41" t="s">
        <v>141</v>
      </c>
      <c r="J30" s="13"/>
      <c r="K30" s="2"/>
      <c r="L30" s="2"/>
    </row>
    <row r="31" spans="1:12" ht="18.75" x14ac:dyDescent="0.3">
      <c r="A31" s="6" t="s">
        <v>55</v>
      </c>
      <c r="B31" s="5"/>
      <c r="C31" s="4"/>
      <c r="D31" s="15" t="s">
        <v>180</v>
      </c>
      <c r="E31" s="41" t="s">
        <v>141</v>
      </c>
      <c r="F31" s="41" t="s">
        <v>141</v>
      </c>
      <c r="G31" s="14" t="s">
        <v>30</v>
      </c>
      <c r="H31" s="41" t="s">
        <v>141</v>
      </c>
      <c r="I31" s="41" t="s">
        <v>141</v>
      </c>
      <c r="J31" s="13"/>
      <c r="L31" s="2"/>
    </row>
    <row r="32" spans="1:12" ht="48" x14ac:dyDescent="0.3">
      <c r="A32" s="6"/>
      <c r="B32" s="5"/>
      <c r="C32" s="4"/>
      <c r="D32" s="15" t="s">
        <v>207</v>
      </c>
      <c r="E32" s="41" t="s">
        <v>141</v>
      </c>
      <c r="F32" s="41">
        <f>9+1</f>
        <v>10</v>
      </c>
      <c r="G32" s="14" t="s">
        <v>114</v>
      </c>
      <c r="H32" s="45">
        <f>(2474+160.4)/F32</f>
        <v>263.44</v>
      </c>
      <c r="I32" s="57">
        <f>F32*H32</f>
        <v>2634.4</v>
      </c>
      <c r="J32" s="13" t="s">
        <v>119</v>
      </c>
      <c r="L32" s="2"/>
    </row>
    <row r="33" spans="1:12" ht="32.25" x14ac:dyDescent="0.3">
      <c r="A33" s="6" t="s">
        <v>57</v>
      </c>
      <c r="B33" s="5"/>
      <c r="C33" s="4"/>
      <c r="D33" s="15" t="s">
        <v>95</v>
      </c>
      <c r="E33" s="41" t="s">
        <v>141</v>
      </c>
      <c r="F33" s="41" t="s">
        <v>141</v>
      </c>
      <c r="G33" s="14" t="s">
        <v>53</v>
      </c>
      <c r="H33" s="41" t="s">
        <v>141</v>
      </c>
      <c r="I33" s="41" t="s">
        <v>141</v>
      </c>
      <c r="J33" s="13"/>
      <c r="L33" s="2"/>
    </row>
    <row r="34" spans="1:12" ht="32.25" x14ac:dyDescent="0.3">
      <c r="A34" s="6" t="s">
        <v>14</v>
      </c>
      <c r="B34" s="5"/>
      <c r="C34" s="4"/>
      <c r="D34" s="15" t="s">
        <v>94</v>
      </c>
      <c r="E34" s="41" t="s">
        <v>141</v>
      </c>
      <c r="F34" s="41" t="s">
        <v>141</v>
      </c>
      <c r="G34" s="14" t="s">
        <v>54</v>
      </c>
      <c r="H34" s="41" t="s">
        <v>141</v>
      </c>
      <c r="I34" s="41" t="s">
        <v>141</v>
      </c>
      <c r="J34" s="13"/>
      <c r="L34" s="2"/>
    </row>
    <row r="35" spans="1:12" ht="18.75" x14ac:dyDescent="0.3">
      <c r="A35" s="6" t="s">
        <v>15</v>
      </c>
      <c r="B35" s="5"/>
      <c r="C35" s="4"/>
      <c r="D35" s="4" t="s">
        <v>42</v>
      </c>
      <c r="E35" s="41" t="s">
        <v>141</v>
      </c>
      <c r="F35" s="41" t="s">
        <v>141</v>
      </c>
      <c r="G35" s="14" t="s">
        <v>54</v>
      </c>
      <c r="H35" s="41" t="s">
        <v>141</v>
      </c>
      <c r="I35" s="41" t="s">
        <v>141</v>
      </c>
      <c r="J35" s="13"/>
      <c r="L35" s="2"/>
    </row>
    <row r="36" spans="1:12" ht="18.75" x14ac:dyDescent="0.3">
      <c r="A36" s="6" t="s">
        <v>16</v>
      </c>
      <c r="B36" s="5"/>
      <c r="C36" s="4"/>
      <c r="D36" s="4" t="s">
        <v>43</v>
      </c>
      <c r="E36" s="41" t="s">
        <v>141</v>
      </c>
      <c r="F36" s="41" t="s">
        <v>141</v>
      </c>
      <c r="G36" s="14" t="s">
        <v>53</v>
      </c>
      <c r="H36" s="41" t="s">
        <v>141</v>
      </c>
      <c r="I36" s="41" t="s">
        <v>141</v>
      </c>
      <c r="J36" s="13"/>
      <c r="L36" s="2"/>
    </row>
    <row r="37" spans="1:12" ht="18.75" x14ac:dyDescent="0.3">
      <c r="A37" s="6" t="s">
        <v>17</v>
      </c>
      <c r="B37" s="5"/>
      <c r="C37" s="4"/>
      <c r="D37" s="4" t="s">
        <v>44</v>
      </c>
      <c r="E37" s="41" t="s">
        <v>141</v>
      </c>
      <c r="F37" s="41" t="s">
        <v>141</v>
      </c>
      <c r="G37" s="13" t="s">
        <v>30</v>
      </c>
      <c r="H37" s="41" t="s">
        <v>141</v>
      </c>
      <c r="I37" s="41" t="s">
        <v>141</v>
      </c>
      <c r="J37" s="13"/>
      <c r="L37" s="2"/>
    </row>
    <row r="38" spans="1:12" ht="18.75" x14ac:dyDescent="0.3">
      <c r="A38" s="6" t="s">
        <v>18</v>
      </c>
      <c r="B38" s="5"/>
      <c r="C38" s="4"/>
      <c r="D38" s="4" t="s">
        <v>45</v>
      </c>
      <c r="E38" s="41" t="s">
        <v>141</v>
      </c>
      <c r="F38" s="41" t="s">
        <v>141</v>
      </c>
      <c r="G38" s="14" t="s">
        <v>54</v>
      </c>
      <c r="H38" s="41" t="s">
        <v>141</v>
      </c>
      <c r="I38" s="41" t="s">
        <v>141</v>
      </c>
      <c r="J38" s="13"/>
      <c r="L38" s="2"/>
    </row>
    <row r="39" spans="1:12" ht="18.75" x14ac:dyDescent="0.3">
      <c r="A39" s="28"/>
      <c r="B39" s="22"/>
      <c r="C39" s="22"/>
      <c r="D39" s="22"/>
      <c r="E39" s="48"/>
      <c r="F39" s="48"/>
      <c r="G39" s="12"/>
      <c r="H39" s="41"/>
      <c r="I39" s="41">
        <f>SUM(I20:I38)</f>
        <v>76261.2</v>
      </c>
      <c r="J39" s="13"/>
      <c r="L39" s="2"/>
    </row>
    <row r="40" spans="1:12" ht="24" customHeight="1" x14ac:dyDescent="0.3">
      <c r="A40" s="71" t="s">
        <v>86</v>
      </c>
      <c r="B40" s="72"/>
      <c r="C40" s="72"/>
      <c r="D40" s="72"/>
      <c r="E40" s="72"/>
      <c r="F40" s="72"/>
      <c r="G40" s="73"/>
      <c r="H40" s="14"/>
      <c r="I40" s="5"/>
      <c r="J40" s="13"/>
      <c r="L40" s="2"/>
    </row>
    <row r="41" spans="1:12" ht="32.25" customHeight="1" x14ac:dyDescent="0.3">
      <c r="A41" s="6" t="s">
        <v>49</v>
      </c>
      <c r="B41" s="5"/>
      <c r="C41" s="4"/>
      <c r="D41" s="15" t="s">
        <v>184</v>
      </c>
      <c r="E41" s="41" t="s">
        <v>141</v>
      </c>
      <c r="F41" s="41" t="s">
        <v>141</v>
      </c>
      <c r="G41" s="38" t="s">
        <v>31</v>
      </c>
      <c r="H41" s="41" t="s">
        <v>141</v>
      </c>
      <c r="I41" s="41" t="s">
        <v>141</v>
      </c>
      <c r="J41" s="13"/>
      <c r="L41" s="2"/>
    </row>
    <row r="42" spans="1:12" ht="32.25" customHeight="1" x14ac:dyDescent="0.3">
      <c r="A42" s="6"/>
      <c r="B42" s="5"/>
      <c r="C42" s="4"/>
      <c r="D42" s="15" t="s">
        <v>208</v>
      </c>
      <c r="E42" s="41" t="s">
        <v>141</v>
      </c>
      <c r="F42" s="41">
        <v>1</v>
      </c>
      <c r="G42" s="13" t="s">
        <v>31</v>
      </c>
      <c r="H42" s="41">
        <f>216.6/F42</f>
        <v>216.6</v>
      </c>
      <c r="I42" s="57">
        <f>F42*H42</f>
        <v>216.6</v>
      </c>
      <c r="J42" s="13" t="s">
        <v>119</v>
      </c>
      <c r="L42" s="2"/>
    </row>
    <row r="43" spans="1:12" ht="32.25" customHeight="1" x14ac:dyDescent="0.3">
      <c r="A43" s="6"/>
      <c r="B43" s="5"/>
      <c r="C43" s="4"/>
      <c r="D43" s="15" t="s">
        <v>188</v>
      </c>
      <c r="E43" s="41" t="s">
        <v>141</v>
      </c>
      <c r="F43" s="41">
        <f>1.5</f>
        <v>1.5</v>
      </c>
      <c r="G43" s="13" t="s">
        <v>30</v>
      </c>
      <c r="H43" s="45">
        <f>395.6/F43</f>
        <v>263.73333333333335</v>
      </c>
      <c r="I43" s="57">
        <f>F43*H43</f>
        <v>395.6</v>
      </c>
      <c r="J43" s="13" t="s">
        <v>122</v>
      </c>
      <c r="L43" s="2"/>
    </row>
    <row r="44" spans="1:12" ht="32.25" customHeight="1" x14ac:dyDescent="0.3">
      <c r="A44" s="6"/>
      <c r="B44" s="5"/>
      <c r="C44" s="4"/>
      <c r="D44" s="15" t="s">
        <v>190</v>
      </c>
      <c r="E44" s="41"/>
      <c r="F44" s="41"/>
      <c r="G44" s="13" t="s">
        <v>114</v>
      </c>
      <c r="H44" s="41">
        <v>1270.77</v>
      </c>
      <c r="I44" s="45">
        <f>F44*H44</f>
        <v>0</v>
      </c>
      <c r="J44" s="13" t="s">
        <v>119</v>
      </c>
      <c r="L44" s="2"/>
    </row>
    <row r="45" spans="1:12" ht="32.25" x14ac:dyDescent="0.3">
      <c r="A45" s="6" t="s">
        <v>50</v>
      </c>
      <c r="B45" s="5"/>
      <c r="C45" s="4"/>
      <c r="D45" s="15" t="s">
        <v>100</v>
      </c>
      <c r="E45" s="41" t="s">
        <v>141</v>
      </c>
      <c r="F45" s="41" t="s">
        <v>141</v>
      </c>
      <c r="G45" s="13" t="s">
        <v>54</v>
      </c>
      <c r="H45" s="41" t="s">
        <v>141</v>
      </c>
      <c r="I45" s="41" t="s">
        <v>141</v>
      </c>
      <c r="J45" s="13"/>
      <c r="L45" s="2"/>
    </row>
    <row r="46" spans="1:12" ht="18.75" x14ac:dyDescent="0.3">
      <c r="A46" s="6"/>
      <c r="B46" s="5"/>
      <c r="C46" s="4"/>
      <c r="D46" s="15" t="s">
        <v>205</v>
      </c>
      <c r="E46" s="41"/>
      <c r="F46" s="41">
        <f>0.52</f>
        <v>0.52</v>
      </c>
      <c r="G46" s="13" t="s">
        <v>114</v>
      </c>
      <c r="H46" s="45">
        <f>1980.6/F46</f>
        <v>3808.8461538461534</v>
      </c>
      <c r="I46" s="57">
        <f>F46*H46</f>
        <v>1980.6</v>
      </c>
      <c r="J46" s="13" t="s">
        <v>119</v>
      </c>
      <c r="L46" s="2"/>
    </row>
    <row r="47" spans="1:12" ht="32.25" x14ac:dyDescent="0.3">
      <c r="A47" s="6" t="s">
        <v>59</v>
      </c>
      <c r="B47" s="8"/>
      <c r="C47" s="4"/>
      <c r="D47" s="15" t="s">
        <v>46</v>
      </c>
      <c r="E47" s="41" t="s">
        <v>141</v>
      </c>
      <c r="F47" s="41" t="s">
        <v>141</v>
      </c>
      <c r="G47" s="14" t="s">
        <v>53</v>
      </c>
      <c r="H47" s="41" t="s">
        <v>141</v>
      </c>
      <c r="I47" s="41" t="s">
        <v>141</v>
      </c>
      <c r="J47" s="13"/>
      <c r="L47" s="2"/>
    </row>
    <row r="48" spans="1:12" ht="48" x14ac:dyDescent="0.3">
      <c r="A48" s="6"/>
      <c r="B48" s="8"/>
      <c r="C48" s="4"/>
      <c r="D48" s="15" t="s">
        <v>199</v>
      </c>
      <c r="E48" s="41"/>
      <c r="F48" s="41">
        <f>1.04</f>
        <v>1.04</v>
      </c>
      <c r="G48" s="14" t="s">
        <v>114</v>
      </c>
      <c r="H48" s="45">
        <f>3553.4/F48</f>
        <v>3416.7307692307691</v>
      </c>
      <c r="I48" s="57">
        <f t="shared" ref="I48:I56" si="0">F48*H48</f>
        <v>3553.4</v>
      </c>
      <c r="J48" s="13" t="s">
        <v>194</v>
      </c>
      <c r="L48" s="2"/>
    </row>
    <row r="49" spans="1:12" ht="32.25" x14ac:dyDescent="0.3">
      <c r="A49" s="6"/>
      <c r="B49" s="8"/>
      <c r="C49" s="4"/>
      <c r="D49" s="15" t="s">
        <v>200</v>
      </c>
      <c r="E49" s="41"/>
      <c r="F49" s="41">
        <v>2</v>
      </c>
      <c r="G49" s="14" t="s">
        <v>147</v>
      </c>
      <c r="H49" s="41">
        <f>234/F49</f>
        <v>117</v>
      </c>
      <c r="I49" s="57">
        <f t="shared" si="0"/>
        <v>234</v>
      </c>
      <c r="J49" s="13" t="s">
        <v>194</v>
      </c>
      <c r="L49" s="2"/>
    </row>
    <row r="50" spans="1:12" ht="32.25" x14ac:dyDescent="0.3">
      <c r="A50" s="6"/>
      <c r="B50" s="8"/>
      <c r="C50" s="4"/>
      <c r="D50" s="15" t="s">
        <v>201</v>
      </c>
      <c r="E50" s="41" t="s">
        <v>141</v>
      </c>
      <c r="F50" s="41">
        <v>1.04</v>
      </c>
      <c r="G50" s="14" t="s">
        <v>114</v>
      </c>
      <c r="H50" s="45">
        <f>3208.6/F50</f>
        <v>3085.1923076923076</v>
      </c>
      <c r="I50" s="57">
        <f t="shared" si="0"/>
        <v>3208.6</v>
      </c>
      <c r="J50" s="13" t="s">
        <v>194</v>
      </c>
      <c r="L50" s="2"/>
    </row>
    <row r="51" spans="1:12" ht="32.25" x14ac:dyDescent="0.3">
      <c r="A51" s="6"/>
      <c r="B51" s="8"/>
      <c r="C51" s="4"/>
      <c r="D51" s="15" t="s">
        <v>209</v>
      </c>
      <c r="E51" s="41"/>
      <c r="F51" s="41">
        <f>29.22</f>
        <v>29.22</v>
      </c>
      <c r="G51" s="14" t="s">
        <v>114</v>
      </c>
      <c r="H51" s="45">
        <f>5193.8/F51</f>
        <v>177.74811772758386</v>
      </c>
      <c r="I51" s="57">
        <f t="shared" si="0"/>
        <v>5193.8</v>
      </c>
      <c r="J51" s="13"/>
      <c r="L51" s="2"/>
    </row>
    <row r="52" spans="1:12" ht="18.75" x14ac:dyDescent="0.3">
      <c r="A52" s="6"/>
      <c r="B52" s="8"/>
      <c r="C52" s="4"/>
      <c r="D52" s="15" t="s">
        <v>210</v>
      </c>
      <c r="E52" s="41"/>
      <c r="F52" s="41">
        <f>20.02</f>
        <v>20.02</v>
      </c>
      <c r="G52" s="14" t="s">
        <v>114</v>
      </c>
      <c r="H52" s="45">
        <f>2094.2/F52</f>
        <v>104.60539460539459</v>
      </c>
      <c r="I52" s="57">
        <f t="shared" si="0"/>
        <v>2094.1999999999998</v>
      </c>
      <c r="J52" s="13"/>
      <c r="L52" s="2"/>
    </row>
    <row r="53" spans="1:12" ht="32.25" x14ac:dyDescent="0.3">
      <c r="A53" s="6"/>
      <c r="B53" s="8"/>
      <c r="C53" s="4"/>
      <c r="D53" s="15" t="s">
        <v>214</v>
      </c>
      <c r="E53" s="41"/>
      <c r="F53" s="41">
        <v>20.02</v>
      </c>
      <c r="G53" s="14" t="s">
        <v>114</v>
      </c>
      <c r="H53" s="45">
        <f>2109.4/F53</f>
        <v>105.36463536463538</v>
      </c>
      <c r="I53" s="57">
        <f t="shared" ref="I53" si="1">F53*H53</f>
        <v>2109.4</v>
      </c>
      <c r="J53" s="13"/>
      <c r="L53" s="2"/>
    </row>
    <row r="54" spans="1:12" ht="32.25" x14ac:dyDescent="0.3">
      <c r="A54" s="6"/>
      <c r="B54" s="8"/>
      <c r="C54" s="4"/>
      <c r="D54" s="15" t="s">
        <v>211</v>
      </c>
      <c r="E54" s="41"/>
      <c r="F54" s="41">
        <f>20.02</f>
        <v>20.02</v>
      </c>
      <c r="G54" s="14" t="s">
        <v>114</v>
      </c>
      <c r="H54" s="45">
        <f>16378/F54</f>
        <v>818.08191808191805</v>
      </c>
      <c r="I54" s="57">
        <f t="shared" si="0"/>
        <v>16377.999999999998</v>
      </c>
      <c r="J54" s="13"/>
      <c r="L54" s="2"/>
    </row>
    <row r="55" spans="1:12" ht="32.25" x14ac:dyDescent="0.3">
      <c r="A55" s="6"/>
      <c r="B55" s="8"/>
      <c r="C55" s="4"/>
      <c r="D55" s="15" t="s">
        <v>212</v>
      </c>
      <c r="E55" s="41"/>
      <c r="F55" s="41">
        <f>9.2</f>
        <v>9.1999999999999993</v>
      </c>
      <c r="G55" s="14" t="s">
        <v>114</v>
      </c>
      <c r="H55" s="45">
        <f>801.2/F55</f>
        <v>87.08695652173914</v>
      </c>
      <c r="I55" s="57">
        <f t="shared" si="0"/>
        <v>801.2</v>
      </c>
      <c r="J55" s="13"/>
      <c r="L55" s="2"/>
    </row>
    <row r="56" spans="1:12" ht="32.25" x14ac:dyDescent="0.3">
      <c r="A56" s="6"/>
      <c r="B56" s="8"/>
      <c r="C56" s="4"/>
      <c r="D56" s="15" t="s">
        <v>213</v>
      </c>
      <c r="E56" s="41"/>
      <c r="F56" s="41">
        <v>9.1999999999999993</v>
      </c>
      <c r="G56" s="14" t="s">
        <v>114</v>
      </c>
      <c r="H56" s="45">
        <f>5493.6/F56</f>
        <v>597.13043478260875</v>
      </c>
      <c r="I56" s="57">
        <f t="shared" si="0"/>
        <v>5493.6</v>
      </c>
      <c r="J56" s="13"/>
      <c r="L56" s="2"/>
    </row>
    <row r="57" spans="1:12" ht="18.75" x14ac:dyDescent="0.3">
      <c r="A57" s="6" t="s">
        <v>61</v>
      </c>
      <c r="B57" s="5"/>
      <c r="C57" s="4"/>
      <c r="D57" s="15" t="s">
        <v>51</v>
      </c>
      <c r="E57" s="41" t="s">
        <v>141</v>
      </c>
      <c r="F57" s="41" t="s">
        <v>141</v>
      </c>
      <c r="G57" s="14" t="s">
        <v>53</v>
      </c>
      <c r="H57" s="41" t="s">
        <v>141</v>
      </c>
      <c r="I57" s="41" t="s">
        <v>141</v>
      </c>
      <c r="J57" s="13"/>
      <c r="L57" s="2"/>
    </row>
    <row r="58" spans="1:12" ht="32.25" x14ac:dyDescent="0.3">
      <c r="A58" s="6" t="s">
        <v>62</v>
      </c>
      <c r="B58" s="5"/>
      <c r="C58" s="4"/>
      <c r="D58" s="15" t="s">
        <v>64</v>
      </c>
      <c r="E58" s="41" t="s">
        <v>141</v>
      </c>
      <c r="F58" s="41" t="s">
        <v>141</v>
      </c>
      <c r="G58" s="13" t="s">
        <v>30</v>
      </c>
      <c r="H58" s="41" t="s">
        <v>141</v>
      </c>
      <c r="I58" s="41" t="s">
        <v>141</v>
      </c>
      <c r="J58" s="13"/>
      <c r="L58" s="2"/>
    </row>
    <row r="59" spans="1:12" ht="18.75" x14ac:dyDescent="0.3">
      <c r="A59" s="6"/>
      <c r="B59" s="5"/>
      <c r="C59" s="4"/>
      <c r="D59" s="15" t="s">
        <v>155</v>
      </c>
      <c r="E59" s="41" t="s">
        <v>141</v>
      </c>
      <c r="F59" s="41" t="s">
        <v>141</v>
      </c>
      <c r="G59" s="13" t="s">
        <v>31</v>
      </c>
      <c r="H59" s="41" t="s">
        <v>141</v>
      </c>
      <c r="I59" s="41" t="s">
        <v>141</v>
      </c>
      <c r="J59" s="13"/>
      <c r="L59" s="2"/>
    </row>
    <row r="60" spans="1:12" ht="18.75" x14ac:dyDescent="0.3">
      <c r="A60" s="6" t="s">
        <v>58</v>
      </c>
      <c r="B60" s="8"/>
      <c r="C60" s="4"/>
      <c r="D60" s="4" t="s">
        <v>47</v>
      </c>
      <c r="E60" s="41" t="s">
        <v>141</v>
      </c>
      <c r="F60" s="41" t="s">
        <v>141</v>
      </c>
      <c r="G60" s="14" t="s">
        <v>53</v>
      </c>
      <c r="H60" s="41" t="s">
        <v>141</v>
      </c>
      <c r="I60" s="41" t="s">
        <v>141</v>
      </c>
      <c r="J60" s="13"/>
      <c r="L60" s="2"/>
    </row>
    <row r="61" spans="1:12" ht="24" customHeight="1" x14ac:dyDescent="0.3">
      <c r="A61" s="6" t="s">
        <v>60</v>
      </c>
      <c r="B61" s="8"/>
      <c r="C61" s="4"/>
      <c r="D61" s="4" t="s">
        <v>48</v>
      </c>
      <c r="E61" s="41" t="s">
        <v>141</v>
      </c>
      <c r="F61" s="41" t="s">
        <v>141</v>
      </c>
      <c r="G61" s="14" t="s">
        <v>53</v>
      </c>
      <c r="H61" s="41" t="s">
        <v>141</v>
      </c>
      <c r="I61" s="41" t="s">
        <v>141</v>
      </c>
      <c r="J61" s="13"/>
      <c r="L61" s="2"/>
    </row>
    <row r="62" spans="1:12" ht="18.75" x14ac:dyDescent="0.3">
      <c r="A62" s="6" t="s">
        <v>65</v>
      </c>
      <c r="B62" s="5"/>
      <c r="C62" s="4"/>
      <c r="D62" s="4" t="s">
        <v>93</v>
      </c>
      <c r="E62" s="41" t="s">
        <v>141</v>
      </c>
      <c r="F62" s="41" t="s">
        <v>141</v>
      </c>
      <c r="G62" s="14" t="s">
        <v>54</v>
      </c>
      <c r="H62" s="41" t="s">
        <v>141</v>
      </c>
      <c r="I62" s="41" t="s">
        <v>141</v>
      </c>
      <c r="J62" s="13"/>
      <c r="L62" s="2"/>
    </row>
    <row r="63" spans="1:12" ht="18.75" x14ac:dyDescent="0.3">
      <c r="A63" s="28"/>
      <c r="B63" s="22"/>
      <c r="C63" s="22"/>
      <c r="D63" s="22"/>
      <c r="E63" s="48"/>
      <c r="F63" s="48"/>
      <c r="G63" s="12"/>
      <c r="H63" s="41"/>
      <c r="I63" s="45">
        <f>SUM(I42:I62)</f>
        <v>41659</v>
      </c>
      <c r="J63" s="13"/>
      <c r="L63" s="2"/>
    </row>
    <row r="64" spans="1:12" ht="18.75" x14ac:dyDescent="0.3">
      <c r="A64" s="71" t="s">
        <v>67</v>
      </c>
      <c r="B64" s="72"/>
      <c r="C64" s="72"/>
      <c r="D64" s="72"/>
      <c r="E64" s="72"/>
      <c r="F64" s="72"/>
      <c r="G64" s="73"/>
      <c r="H64" s="18"/>
      <c r="I64" s="5"/>
      <c r="J64" s="13"/>
      <c r="L64" s="2"/>
    </row>
    <row r="65" spans="1:12" ht="37.5" x14ac:dyDescent="0.25">
      <c r="A65" s="9" t="s">
        <v>29</v>
      </c>
      <c r="B65" s="8"/>
      <c r="C65" s="4"/>
      <c r="D65" s="15" t="s">
        <v>144</v>
      </c>
      <c r="E65" s="41"/>
      <c r="F65" s="41"/>
      <c r="G65" s="13" t="s">
        <v>54</v>
      </c>
      <c r="H65" s="41"/>
      <c r="I65" s="41"/>
      <c r="J65" s="13"/>
      <c r="L65" s="2"/>
    </row>
    <row r="66" spans="1:12" ht="46.5" customHeight="1" x14ac:dyDescent="0.25">
      <c r="A66" s="9" t="s">
        <v>92</v>
      </c>
      <c r="B66" s="8"/>
      <c r="C66" s="4"/>
      <c r="D66" s="42" t="s">
        <v>127</v>
      </c>
      <c r="E66" s="32"/>
      <c r="F66" s="13">
        <v>596.79999999999995</v>
      </c>
      <c r="G66" s="13" t="s">
        <v>114</v>
      </c>
      <c r="H66" s="33">
        <f>(2512.4+2512.4+2512.4+2569.6+2569.6+2569.6+2637+2637+2637+2719.6+2719.6+2719.6)/F66</f>
        <v>52.472855227882036</v>
      </c>
      <c r="I66" s="33">
        <f t="shared" ref="I66:I67" si="2">F66*H66</f>
        <v>31315.799999999996</v>
      </c>
      <c r="J66" s="13" t="s">
        <v>117</v>
      </c>
      <c r="L66" s="2"/>
    </row>
    <row r="67" spans="1:12" ht="46.5" customHeight="1" x14ac:dyDescent="0.25">
      <c r="A67" s="9"/>
      <c r="B67" s="8"/>
      <c r="C67" s="4"/>
      <c r="D67" s="15" t="s">
        <v>112</v>
      </c>
      <c r="E67" s="32"/>
      <c r="F67" s="13">
        <f>1015</f>
        <v>1015</v>
      </c>
      <c r="G67" s="13" t="s">
        <v>30</v>
      </c>
      <c r="H67" s="33">
        <f>84788/F67</f>
        <v>83.534975369458124</v>
      </c>
      <c r="I67" s="33">
        <f t="shared" si="2"/>
        <v>84788</v>
      </c>
      <c r="J67" s="13" t="s">
        <v>119</v>
      </c>
      <c r="L67" s="2"/>
    </row>
    <row r="68" spans="1:12" ht="46.5" customHeight="1" x14ac:dyDescent="0.25">
      <c r="A68" s="9"/>
      <c r="B68" s="8"/>
      <c r="C68" s="4"/>
      <c r="D68" s="15" t="s">
        <v>113</v>
      </c>
      <c r="E68" s="41" t="s">
        <v>141</v>
      </c>
      <c r="F68" s="41" t="s">
        <v>141</v>
      </c>
      <c r="G68" s="13" t="s">
        <v>30</v>
      </c>
      <c r="H68" s="41" t="s">
        <v>141</v>
      </c>
      <c r="I68" s="41" t="s">
        <v>141</v>
      </c>
      <c r="J68" s="13"/>
      <c r="L68" s="2"/>
    </row>
    <row r="69" spans="1:12" ht="46.5" customHeight="1" x14ac:dyDescent="0.25">
      <c r="A69" s="9"/>
      <c r="B69" s="8"/>
      <c r="C69" s="4"/>
      <c r="D69" s="15" t="s">
        <v>175</v>
      </c>
      <c r="E69" s="41"/>
      <c r="F69" s="41">
        <f>2+2</f>
        <v>4</v>
      </c>
      <c r="G69" s="13" t="s">
        <v>31</v>
      </c>
      <c r="H69" s="41">
        <f>(2869.4+2869.4)/F69</f>
        <v>1434.7</v>
      </c>
      <c r="I69" s="41">
        <f t="shared" ref="I69" si="3">F69*H69</f>
        <v>5738.8</v>
      </c>
      <c r="J69" s="13" t="s">
        <v>119</v>
      </c>
      <c r="L69" s="2"/>
    </row>
    <row r="70" spans="1:12" ht="46.5" customHeight="1" x14ac:dyDescent="0.25">
      <c r="A70" s="9"/>
      <c r="B70" s="8"/>
      <c r="C70" s="4"/>
      <c r="D70" s="15" t="s">
        <v>170</v>
      </c>
      <c r="E70" s="41" t="s">
        <v>141</v>
      </c>
      <c r="F70" s="41">
        <f>4</f>
        <v>4</v>
      </c>
      <c r="G70" s="13" t="s">
        <v>30</v>
      </c>
      <c r="H70" s="41">
        <f>1339.8/F70</f>
        <v>334.95</v>
      </c>
      <c r="I70" s="57">
        <f>F70*H70</f>
        <v>1339.8</v>
      </c>
      <c r="J70" s="13" t="s">
        <v>119</v>
      </c>
      <c r="L70" s="2"/>
    </row>
    <row r="71" spans="1:12" ht="46.5" customHeight="1" x14ac:dyDescent="0.25">
      <c r="A71" s="9"/>
      <c r="B71" s="8"/>
      <c r="C71" s="4"/>
      <c r="D71" s="15" t="s">
        <v>171</v>
      </c>
      <c r="E71" s="41" t="s">
        <v>141</v>
      </c>
      <c r="F71" s="41">
        <f>5</f>
        <v>5</v>
      </c>
      <c r="G71" s="13" t="s">
        <v>169</v>
      </c>
      <c r="H71" s="41">
        <f>165.4/F71</f>
        <v>33.08</v>
      </c>
      <c r="I71" s="57">
        <f>F71*H71</f>
        <v>165.39999999999998</v>
      </c>
      <c r="J71" s="13" t="s">
        <v>119</v>
      </c>
      <c r="L71" s="2"/>
    </row>
    <row r="72" spans="1:12" ht="46.5" customHeight="1" x14ac:dyDescent="0.25">
      <c r="A72" s="9"/>
      <c r="B72" s="8"/>
      <c r="C72" s="4"/>
      <c r="D72" s="15" t="s">
        <v>215</v>
      </c>
      <c r="E72" s="41" t="s">
        <v>141</v>
      </c>
      <c r="F72" s="41">
        <f>4</f>
        <v>4</v>
      </c>
      <c r="G72" s="13" t="s">
        <v>30</v>
      </c>
      <c r="H72" s="41">
        <f>4561/F72</f>
        <v>1140.25</v>
      </c>
      <c r="I72" s="57">
        <f>F72*H72</f>
        <v>4561</v>
      </c>
      <c r="J72" s="13" t="s">
        <v>119</v>
      </c>
      <c r="L72" s="2"/>
    </row>
    <row r="73" spans="1:12" ht="46.5" customHeight="1" x14ac:dyDescent="0.25">
      <c r="A73" s="9"/>
      <c r="B73" s="8"/>
      <c r="C73" s="4"/>
      <c r="D73" s="15" t="s">
        <v>166</v>
      </c>
      <c r="E73" s="41" t="s">
        <v>141</v>
      </c>
      <c r="F73" s="41" t="s">
        <v>141</v>
      </c>
      <c r="G73" s="13" t="s">
        <v>152</v>
      </c>
      <c r="H73" s="41" t="s">
        <v>141</v>
      </c>
      <c r="I73" s="41" t="s">
        <v>141</v>
      </c>
      <c r="J73" s="13"/>
      <c r="L73" s="2"/>
    </row>
    <row r="74" spans="1:12" ht="46.5" customHeight="1" x14ac:dyDescent="0.25">
      <c r="A74" s="9"/>
      <c r="B74" s="8"/>
      <c r="C74" s="4"/>
      <c r="D74" s="15" t="s">
        <v>143</v>
      </c>
      <c r="E74" s="41" t="s">
        <v>141</v>
      </c>
      <c r="F74" s="41" t="s">
        <v>141</v>
      </c>
      <c r="G74" s="13" t="s">
        <v>31</v>
      </c>
      <c r="H74" s="41" t="s">
        <v>141</v>
      </c>
      <c r="I74" s="41" t="s">
        <v>141</v>
      </c>
      <c r="J74" s="13"/>
      <c r="L74" s="2"/>
    </row>
    <row r="75" spans="1:12" ht="31.5" x14ac:dyDescent="0.25">
      <c r="A75" s="9" t="s">
        <v>83</v>
      </c>
      <c r="B75" s="8"/>
      <c r="C75" s="4"/>
      <c r="D75" s="15" t="s">
        <v>157</v>
      </c>
      <c r="E75" s="41" t="s">
        <v>141</v>
      </c>
      <c r="F75" s="41" t="s">
        <v>141</v>
      </c>
      <c r="G75" s="13" t="s">
        <v>54</v>
      </c>
      <c r="H75" s="41" t="s">
        <v>141</v>
      </c>
      <c r="I75" s="41" t="s">
        <v>141</v>
      </c>
      <c r="J75" s="13"/>
      <c r="L75" s="2"/>
    </row>
    <row r="76" spans="1:12" ht="31.5" x14ac:dyDescent="0.25">
      <c r="A76" s="9"/>
      <c r="B76" s="8"/>
      <c r="C76" s="4"/>
      <c r="D76" s="15" t="s">
        <v>158</v>
      </c>
      <c r="E76" s="41"/>
      <c r="F76" s="41"/>
      <c r="G76" s="13" t="s">
        <v>54</v>
      </c>
      <c r="H76" s="41"/>
      <c r="I76" s="41"/>
      <c r="J76" s="13"/>
      <c r="L76" s="2"/>
    </row>
    <row r="77" spans="1:12" ht="31.5" x14ac:dyDescent="0.25">
      <c r="A77" s="9"/>
      <c r="B77" s="8"/>
      <c r="C77" s="4"/>
      <c r="D77" s="15" t="s">
        <v>187</v>
      </c>
      <c r="E77" s="41"/>
      <c r="F77" s="41"/>
      <c r="G77" s="13" t="s">
        <v>31</v>
      </c>
      <c r="H77" s="41" t="s">
        <v>141</v>
      </c>
      <c r="I77" s="41" t="s">
        <v>141</v>
      </c>
      <c r="J77" s="13"/>
      <c r="L77" s="2"/>
    </row>
    <row r="78" spans="1:12" ht="18.75" x14ac:dyDescent="0.25">
      <c r="A78" s="9"/>
      <c r="B78" s="8"/>
      <c r="C78" s="4"/>
      <c r="D78" s="15" t="s">
        <v>134</v>
      </c>
      <c r="E78" s="41"/>
      <c r="F78" s="41">
        <f>4+4</f>
        <v>8</v>
      </c>
      <c r="G78" s="13" t="s">
        <v>31</v>
      </c>
      <c r="H78" s="41">
        <f>(4695.6+4695.8)/F78</f>
        <v>1173.9250000000002</v>
      </c>
      <c r="I78" s="57">
        <f>F78*H78</f>
        <v>9391.4000000000015</v>
      </c>
      <c r="J78" s="13" t="s">
        <v>119</v>
      </c>
      <c r="L78" s="2"/>
    </row>
    <row r="79" spans="1:12" ht="18.75" x14ac:dyDescent="0.25">
      <c r="A79" s="9"/>
      <c r="B79" s="8"/>
      <c r="C79" s="4"/>
      <c r="D79" s="15" t="s">
        <v>150</v>
      </c>
      <c r="E79" s="41" t="s">
        <v>141</v>
      </c>
      <c r="F79" s="41" t="s">
        <v>141</v>
      </c>
      <c r="G79" s="13" t="s">
        <v>31</v>
      </c>
      <c r="H79" s="41" t="s">
        <v>141</v>
      </c>
      <c r="I79" s="41" t="s">
        <v>141</v>
      </c>
      <c r="J79" s="13"/>
      <c r="L79" s="2"/>
    </row>
    <row r="80" spans="1:12" ht="31.5" x14ac:dyDescent="0.25">
      <c r="A80" s="9"/>
      <c r="B80" s="8"/>
      <c r="C80" s="4"/>
      <c r="D80" s="15" t="s">
        <v>168</v>
      </c>
      <c r="E80" s="41" t="s">
        <v>141</v>
      </c>
      <c r="F80" s="41" t="s">
        <v>141</v>
      </c>
      <c r="G80" s="13" t="s">
        <v>169</v>
      </c>
      <c r="H80" s="41" t="s">
        <v>141</v>
      </c>
      <c r="I80" s="41" t="s">
        <v>141</v>
      </c>
      <c r="J80" s="13"/>
      <c r="L80" s="2"/>
    </row>
    <row r="81" spans="1:12" ht="31.5" x14ac:dyDescent="0.25">
      <c r="A81" s="9"/>
      <c r="B81" s="8"/>
      <c r="C81" s="4"/>
      <c r="D81" s="15" t="s">
        <v>167</v>
      </c>
      <c r="E81" s="41" t="s">
        <v>141</v>
      </c>
      <c r="F81" s="41" t="s">
        <v>141</v>
      </c>
      <c r="G81" s="13" t="s">
        <v>31</v>
      </c>
      <c r="H81" s="41" t="s">
        <v>141</v>
      </c>
      <c r="I81" s="41" t="s">
        <v>141</v>
      </c>
      <c r="J81" s="13"/>
      <c r="L81" s="2"/>
    </row>
    <row r="82" spans="1:12" ht="18.75" x14ac:dyDescent="0.25">
      <c r="A82" s="9"/>
      <c r="B82" s="8"/>
      <c r="C82" s="4"/>
      <c r="D82" s="15" t="s">
        <v>159</v>
      </c>
      <c r="E82" s="41" t="s">
        <v>141</v>
      </c>
      <c r="F82" s="41" t="s">
        <v>141</v>
      </c>
      <c r="G82" s="13" t="s">
        <v>160</v>
      </c>
      <c r="H82" s="41" t="s">
        <v>141</v>
      </c>
      <c r="I82" s="41" t="s">
        <v>141</v>
      </c>
      <c r="J82" s="13"/>
      <c r="L82" s="2"/>
    </row>
    <row r="83" spans="1:12" ht="18.75" x14ac:dyDescent="0.25">
      <c r="A83" s="9" t="s">
        <v>20</v>
      </c>
      <c r="B83" s="8"/>
      <c r="C83" s="4"/>
      <c r="D83" s="15" t="s">
        <v>68</v>
      </c>
      <c r="E83" s="41" t="s">
        <v>141</v>
      </c>
      <c r="F83" s="41" t="s">
        <v>141</v>
      </c>
      <c r="G83" s="13" t="s">
        <v>30</v>
      </c>
      <c r="H83" s="41" t="s">
        <v>141</v>
      </c>
      <c r="I83" s="41" t="s">
        <v>141</v>
      </c>
      <c r="J83" s="13"/>
      <c r="L83" s="2"/>
    </row>
    <row r="84" spans="1:12" ht="31.5" x14ac:dyDescent="0.25">
      <c r="A84" s="9" t="s">
        <v>21</v>
      </c>
      <c r="B84" s="8"/>
      <c r="C84" s="4"/>
      <c r="D84" s="15" t="s">
        <v>70</v>
      </c>
      <c r="E84" s="41" t="s">
        <v>141</v>
      </c>
      <c r="F84" s="41" t="s">
        <v>141</v>
      </c>
      <c r="G84" s="13" t="s">
        <v>54</v>
      </c>
      <c r="H84" s="41" t="s">
        <v>141</v>
      </c>
      <c r="I84" s="41" t="s">
        <v>141</v>
      </c>
      <c r="J84" s="13"/>
      <c r="L84" s="2"/>
    </row>
    <row r="85" spans="1:12" ht="18.75" x14ac:dyDescent="0.25">
      <c r="A85" s="49"/>
      <c r="B85" s="50"/>
      <c r="C85" s="22"/>
      <c r="D85" s="30"/>
      <c r="E85" s="48"/>
      <c r="F85" s="48"/>
      <c r="G85" s="31"/>
      <c r="H85" s="41"/>
      <c r="I85" s="45">
        <f>SUM(I65:I84)</f>
        <v>137300.19999999998</v>
      </c>
      <c r="J85" s="13"/>
      <c r="L85" s="2"/>
    </row>
    <row r="86" spans="1:12" ht="18.75" x14ac:dyDescent="0.3">
      <c r="A86" s="67" t="s">
        <v>71</v>
      </c>
      <c r="B86" s="68"/>
      <c r="C86" s="68"/>
      <c r="D86" s="68"/>
      <c r="E86" s="68"/>
      <c r="F86" s="68"/>
      <c r="G86" s="69"/>
      <c r="H86" s="19"/>
      <c r="I86" s="5"/>
      <c r="J86" s="13"/>
      <c r="L86" s="2"/>
    </row>
    <row r="87" spans="1:12" ht="37.5" x14ac:dyDescent="0.25">
      <c r="A87" s="9" t="s">
        <v>92</v>
      </c>
      <c r="B87" s="8"/>
      <c r="C87" s="4"/>
      <c r="D87" s="4" t="s">
        <v>130</v>
      </c>
      <c r="E87" s="41" t="s">
        <v>141</v>
      </c>
      <c r="F87" s="41" t="s">
        <v>141</v>
      </c>
      <c r="G87" s="13" t="s">
        <v>116</v>
      </c>
      <c r="H87" s="41" t="s">
        <v>141</v>
      </c>
      <c r="I87" s="41" t="s">
        <v>141</v>
      </c>
      <c r="J87" s="13"/>
      <c r="L87" s="2"/>
    </row>
    <row r="88" spans="1:12" ht="18.75" x14ac:dyDescent="0.25">
      <c r="A88" s="9"/>
      <c r="B88" s="8"/>
      <c r="C88" s="4"/>
      <c r="D88" s="15" t="s">
        <v>150</v>
      </c>
      <c r="E88" s="41" t="s">
        <v>141</v>
      </c>
      <c r="F88" s="41" t="s">
        <v>141</v>
      </c>
      <c r="G88" s="13" t="s">
        <v>31</v>
      </c>
      <c r="H88" s="41" t="s">
        <v>141</v>
      </c>
      <c r="I88" s="41" t="s">
        <v>141</v>
      </c>
      <c r="J88" s="13"/>
      <c r="L88" s="2"/>
    </row>
    <row r="89" spans="1:12" ht="18.75" x14ac:dyDescent="0.25">
      <c r="A89" s="9" t="s">
        <v>83</v>
      </c>
      <c r="B89" s="8"/>
      <c r="C89" s="4"/>
      <c r="D89" s="15" t="s">
        <v>69</v>
      </c>
      <c r="E89" s="41" t="s">
        <v>141</v>
      </c>
      <c r="F89" s="41" t="s">
        <v>141</v>
      </c>
      <c r="G89" s="13" t="s">
        <v>54</v>
      </c>
      <c r="H89" s="41" t="s">
        <v>141</v>
      </c>
      <c r="I89" s="41" t="s">
        <v>141</v>
      </c>
      <c r="J89" s="13"/>
      <c r="L89" s="2"/>
    </row>
    <row r="90" spans="1:12" ht="18.75" x14ac:dyDescent="0.25">
      <c r="A90" s="9"/>
      <c r="B90" s="8"/>
      <c r="C90" s="4"/>
      <c r="D90" s="15" t="s">
        <v>178</v>
      </c>
      <c r="E90" s="41" t="s">
        <v>141</v>
      </c>
      <c r="F90" s="41" t="s">
        <v>141</v>
      </c>
      <c r="G90" s="13" t="s">
        <v>31</v>
      </c>
      <c r="H90" s="41" t="s">
        <v>141</v>
      </c>
      <c r="I90" s="41" t="s">
        <v>141</v>
      </c>
      <c r="J90" s="13"/>
      <c r="L90" s="2"/>
    </row>
    <row r="91" spans="1:12" ht="31.5" x14ac:dyDescent="0.25">
      <c r="A91" s="9" t="s">
        <v>21</v>
      </c>
      <c r="B91" s="8"/>
      <c r="C91" s="4"/>
      <c r="D91" s="15" t="s">
        <v>70</v>
      </c>
      <c r="E91" s="41" t="s">
        <v>141</v>
      </c>
      <c r="F91" s="41" t="s">
        <v>141</v>
      </c>
      <c r="G91" s="13" t="s">
        <v>145</v>
      </c>
      <c r="H91" s="41" t="s">
        <v>141</v>
      </c>
      <c r="I91" s="41" t="s">
        <v>141</v>
      </c>
      <c r="J91" s="13"/>
      <c r="L91" s="2"/>
    </row>
    <row r="92" spans="1:12" ht="18.75" x14ac:dyDescent="0.25">
      <c r="A92" s="49"/>
      <c r="B92" s="50"/>
      <c r="C92" s="22"/>
      <c r="D92" s="30"/>
      <c r="E92" s="48"/>
      <c r="F92" s="48"/>
      <c r="G92" s="31"/>
      <c r="H92" s="41"/>
      <c r="I92" s="41"/>
      <c r="J92" s="13"/>
      <c r="L92" s="2"/>
    </row>
    <row r="93" spans="1:12" ht="18.75" x14ac:dyDescent="0.3">
      <c r="A93" s="67" t="s">
        <v>72</v>
      </c>
      <c r="B93" s="68"/>
      <c r="C93" s="68"/>
      <c r="D93" s="68"/>
      <c r="E93" s="68"/>
      <c r="F93" s="68"/>
      <c r="G93" s="69"/>
      <c r="H93" s="13"/>
      <c r="I93" s="5"/>
      <c r="J93" s="13"/>
      <c r="L93" s="2"/>
    </row>
    <row r="94" spans="1:12" ht="37.5" x14ac:dyDescent="0.25">
      <c r="A94" s="9" t="s">
        <v>92</v>
      </c>
      <c r="B94" s="8"/>
      <c r="C94" s="4"/>
      <c r="D94" s="4" t="s">
        <v>182</v>
      </c>
      <c r="E94" s="31"/>
      <c r="F94" s="13">
        <f>1+1+1</f>
        <v>3</v>
      </c>
      <c r="G94" s="13" t="s">
        <v>116</v>
      </c>
      <c r="H94" s="33">
        <f>(645.4+685.2+685.2)/F94/2</f>
        <v>335.96666666666664</v>
      </c>
      <c r="I94" s="33">
        <f>F94*H94</f>
        <v>1007.8999999999999</v>
      </c>
      <c r="J94" s="13" t="s">
        <v>117</v>
      </c>
      <c r="L94" s="2"/>
    </row>
    <row r="95" spans="1:12" ht="31.5" x14ac:dyDescent="0.25">
      <c r="A95" s="9"/>
      <c r="B95" s="8"/>
      <c r="C95" s="4"/>
      <c r="D95" s="15" t="s">
        <v>172</v>
      </c>
      <c r="E95" s="41" t="s">
        <v>141</v>
      </c>
      <c r="F95" s="41" t="s">
        <v>141</v>
      </c>
      <c r="G95" s="13" t="s">
        <v>30</v>
      </c>
      <c r="H95" s="41" t="s">
        <v>141</v>
      </c>
      <c r="I95" s="41" t="s">
        <v>141</v>
      </c>
      <c r="J95" s="13"/>
      <c r="L95" s="2"/>
    </row>
    <row r="96" spans="1:12" ht="31.5" x14ac:dyDescent="0.25">
      <c r="A96" s="9"/>
      <c r="B96" s="8"/>
      <c r="C96" s="4"/>
      <c r="D96" s="15" t="s">
        <v>173</v>
      </c>
      <c r="E96" s="41" t="s">
        <v>141</v>
      </c>
      <c r="F96" s="41" t="s">
        <v>141</v>
      </c>
      <c r="G96" s="13" t="s">
        <v>30</v>
      </c>
      <c r="H96" s="41" t="s">
        <v>141</v>
      </c>
      <c r="I96" s="41" t="s">
        <v>141</v>
      </c>
      <c r="J96" s="13"/>
      <c r="L96" s="2"/>
    </row>
    <row r="97" spans="1:12" ht="31.5" x14ac:dyDescent="0.25">
      <c r="A97" s="9"/>
      <c r="B97" s="8"/>
      <c r="C97" s="4"/>
      <c r="D97" s="15" t="s">
        <v>174</v>
      </c>
      <c r="E97" s="41" t="s">
        <v>141</v>
      </c>
      <c r="F97" s="41" t="s">
        <v>141</v>
      </c>
      <c r="G97" s="13" t="s">
        <v>30</v>
      </c>
      <c r="H97" s="41" t="s">
        <v>141</v>
      </c>
      <c r="I97" s="41" t="s">
        <v>141</v>
      </c>
      <c r="J97" s="13"/>
      <c r="L97" s="2"/>
    </row>
    <row r="98" spans="1:12" ht="31.5" x14ac:dyDescent="0.25">
      <c r="A98" s="9"/>
      <c r="B98" s="8"/>
      <c r="C98" s="4"/>
      <c r="D98" s="15" t="s">
        <v>164</v>
      </c>
      <c r="E98" s="41" t="s">
        <v>141</v>
      </c>
      <c r="F98" s="41" t="s">
        <v>141</v>
      </c>
      <c r="G98" s="13" t="s">
        <v>152</v>
      </c>
      <c r="H98" s="41" t="s">
        <v>141</v>
      </c>
      <c r="I98" s="41" t="s">
        <v>141</v>
      </c>
      <c r="J98" s="13"/>
      <c r="L98" s="2"/>
    </row>
    <row r="99" spans="1:12" ht="18.75" x14ac:dyDescent="0.25">
      <c r="A99" s="9"/>
      <c r="B99" s="8"/>
      <c r="C99" s="4"/>
      <c r="D99" s="15" t="s">
        <v>179</v>
      </c>
      <c r="E99" s="41" t="s">
        <v>141</v>
      </c>
      <c r="F99" s="41" t="s">
        <v>141</v>
      </c>
      <c r="G99" s="13" t="s">
        <v>151</v>
      </c>
      <c r="H99" s="41" t="s">
        <v>141</v>
      </c>
      <c r="I99" s="41" t="s">
        <v>141</v>
      </c>
      <c r="J99" s="13"/>
      <c r="L99" s="2"/>
    </row>
    <row r="100" spans="1:12" ht="18.75" x14ac:dyDescent="0.25">
      <c r="A100" s="9"/>
      <c r="B100" s="8"/>
      <c r="C100" s="4"/>
      <c r="D100" s="15" t="s">
        <v>165</v>
      </c>
      <c r="E100" s="41" t="s">
        <v>141</v>
      </c>
      <c r="F100" s="41" t="s">
        <v>141</v>
      </c>
      <c r="G100" s="13" t="s">
        <v>151</v>
      </c>
      <c r="H100" s="41" t="s">
        <v>141</v>
      </c>
      <c r="I100" s="41" t="s">
        <v>141</v>
      </c>
      <c r="J100" s="13"/>
      <c r="L100" s="2"/>
    </row>
    <row r="101" spans="1:12" ht="18.75" x14ac:dyDescent="0.25">
      <c r="A101" s="9" t="s">
        <v>83</v>
      </c>
      <c r="B101" s="8"/>
      <c r="C101" s="4"/>
      <c r="D101" s="15" t="s">
        <v>69</v>
      </c>
      <c r="E101" s="41" t="s">
        <v>141</v>
      </c>
      <c r="F101" s="41" t="s">
        <v>141</v>
      </c>
      <c r="G101" s="14" t="s">
        <v>54</v>
      </c>
      <c r="H101" s="41" t="s">
        <v>141</v>
      </c>
      <c r="I101" s="41" t="s">
        <v>141</v>
      </c>
      <c r="J101" s="13"/>
      <c r="L101" s="2"/>
    </row>
    <row r="102" spans="1:12" ht="31.5" x14ac:dyDescent="0.25">
      <c r="A102" s="9" t="s">
        <v>21</v>
      </c>
      <c r="B102" s="8"/>
      <c r="C102" s="4"/>
      <c r="D102" s="15" t="s">
        <v>70</v>
      </c>
      <c r="E102" s="41" t="s">
        <v>141</v>
      </c>
      <c r="F102" s="41" t="s">
        <v>141</v>
      </c>
      <c r="G102" s="14" t="s">
        <v>54</v>
      </c>
      <c r="H102" s="41" t="s">
        <v>141</v>
      </c>
      <c r="I102" s="41" t="s">
        <v>141</v>
      </c>
      <c r="J102" s="13"/>
      <c r="L102" s="2"/>
    </row>
    <row r="103" spans="1:12" ht="18.75" x14ac:dyDescent="0.25">
      <c r="A103" s="49"/>
      <c r="B103" s="50"/>
      <c r="C103" s="22"/>
      <c r="D103" s="30"/>
      <c r="E103" s="48"/>
      <c r="F103" s="48"/>
      <c r="G103" s="12"/>
      <c r="H103" s="41"/>
      <c r="I103" s="45">
        <f>SUM(I94:I102)</f>
        <v>1007.8999999999999</v>
      </c>
      <c r="J103" s="13"/>
      <c r="L103" s="2"/>
    </row>
    <row r="104" spans="1:12" ht="18.75" x14ac:dyDescent="0.3">
      <c r="A104" s="67" t="s">
        <v>73</v>
      </c>
      <c r="B104" s="68"/>
      <c r="C104" s="68"/>
      <c r="D104" s="68"/>
      <c r="E104" s="68"/>
      <c r="F104" s="68"/>
      <c r="G104" s="69"/>
      <c r="H104" s="19"/>
      <c r="I104" s="5"/>
      <c r="J104" s="13"/>
      <c r="L104" s="2"/>
    </row>
    <row r="105" spans="1:12" ht="37.5" x14ac:dyDescent="0.25">
      <c r="A105" s="9" t="s">
        <v>98</v>
      </c>
      <c r="B105" s="8"/>
      <c r="C105" s="4"/>
      <c r="D105" s="4" t="s">
        <v>131</v>
      </c>
      <c r="E105" s="31"/>
      <c r="F105" s="13">
        <f>1+1+1</f>
        <v>3</v>
      </c>
      <c r="G105" s="13" t="s">
        <v>116</v>
      </c>
      <c r="H105" s="33">
        <f>(645.4+685.2+685.2)/F105/2</f>
        <v>335.96666666666664</v>
      </c>
      <c r="I105" s="33">
        <f>F105*H105</f>
        <v>1007.8999999999999</v>
      </c>
      <c r="J105" s="13" t="s">
        <v>117</v>
      </c>
      <c r="L105" s="2"/>
    </row>
    <row r="106" spans="1:12" ht="31.5" x14ac:dyDescent="0.25">
      <c r="A106" s="9"/>
      <c r="B106" s="8"/>
      <c r="C106" s="4"/>
      <c r="D106" s="15" t="s">
        <v>123</v>
      </c>
      <c r="E106" s="41" t="s">
        <v>141</v>
      </c>
      <c r="F106" s="41" t="s">
        <v>141</v>
      </c>
      <c r="G106" s="13" t="s">
        <v>30</v>
      </c>
      <c r="H106" s="41" t="s">
        <v>141</v>
      </c>
      <c r="I106" s="45" t="s">
        <v>141</v>
      </c>
      <c r="J106" s="13"/>
      <c r="L106" s="2"/>
    </row>
    <row r="107" spans="1:12" ht="18.75" x14ac:dyDescent="0.25">
      <c r="A107" s="9"/>
      <c r="B107" s="8"/>
      <c r="C107" s="4"/>
      <c r="D107" s="4" t="s">
        <v>115</v>
      </c>
      <c r="E107" s="41" t="s">
        <v>141</v>
      </c>
      <c r="F107" s="41">
        <f>1.5</f>
        <v>1.5</v>
      </c>
      <c r="G107" s="13" t="s">
        <v>30</v>
      </c>
      <c r="H107" s="41">
        <f>490.2/F107</f>
        <v>326.8</v>
      </c>
      <c r="I107" s="45">
        <f>F107*H107</f>
        <v>490.20000000000005</v>
      </c>
      <c r="J107" s="13" t="s">
        <v>117</v>
      </c>
      <c r="L107" s="2"/>
    </row>
    <row r="108" spans="1:12" ht="18.75" x14ac:dyDescent="0.25">
      <c r="A108" s="9"/>
      <c r="B108" s="8"/>
      <c r="C108" s="4"/>
      <c r="D108" s="4" t="s">
        <v>154</v>
      </c>
      <c r="E108" s="41" t="s">
        <v>141</v>
      </c>
      <c r="F108" s="41" t="s">
        <v>141</v>
      </c>
      <c r="G108" s="13" t="s">
        <v>30</v>
      </c>
      <c r="H108" s="41" t="s">
        <v>141</v>
      </c>
      <c r="I108" s="45" t="s">
        <v>141</v>
      </c>
      <c r="J108" s="13"/>
      <c r="L108" s="2"/>
    </row>
    <row r="109" spans="1:12" ht="18.75" x14ac:dyDescent="0.25">
      <c r="A109" s="9"/>
      <c r="B109" s="8"/>
      <c r="C109" s="4"/>
      <c r="D109" s="4" t="s">
        <v>176</v>
      </c>
      <c r="E109" s="41" t="s">
        <v>141</v>
      </c>
      <c r="F109" s="41" t="s">
        <v>141</v>
      </c>
      <c r="G109" s="13" t="s">
        <v>138</v>
      </c>
      <c r="H109" s="41" t="s">
        <v>141</v>
      </c>
      <c r="I109" s="45" t="s">
        <v>141</v>
      </c>
      <c r="J109" s="13"/>
      <c r="L109" s="2"/>
    </row>
    <row r="110" spans="1:12" ht="18.75" x14ac:dyDescent="0.25">
      <c r="A110" s="9"/>
      <c r="B110" s="8"/>
      <c r="C110" s="4"/>
      <c r="D110" s="4" t="s">
        <v>177</v>
      </c>
      <c r="E110" s="41" t="s">
        <v>141</v>
      </c>
      <c r="F110" s="41" t="s">
        <v>141</v>
      </c>
      <c r="G110" s="13" t="s">
        <v>138</v>
      </c>
      <c r="H110" s="41" t="s">
        <v>141</v>
      </c>
      <c r="I110" s="45" t="s">
        <v>141</v>
      </c>
      <c r="J110" s="13"/>
      <c r="L110" s="2"/>
    </row>
    <row r="111" spans="1:12" ht="18.75" x14ac:dyDescent="0.25">
      <c r="A111" s="9" t="s">
        <v>22</v>
      </c>
      <c r="B111" s="8"/>
      <c r="C111" s="4"/>
      <c r="D111" s="4" t="s">
        <v>76</v>
      </c>
      <c r="E111" s="41" t="s">
        <v>141</v>
      </c>
      <c r="F111" s="41" t="s">
        <v>141</v>
      </c>
      <c r="G111" s="13" t="s">
        <v>30</v>
      </c>
      <c r="H111" s="41" t="s">
        <v>141</v>
      </c>
      <c r="I111" s="45" t="s">
        <v>141</v>
      </c>
      <c r="J111" s="13"/>
      <c r="L111" s="2"/>
    </row>
    <row r="112" spans="1:12" ht="18.75" x14ac:dyDescent="0.25">
      <c r="A112" s="49"/>
      <c r="B112" s="50"/>
      <c r="C112" s="22"/>
      <c r="D112" s="22"/>
      <c r="E112" s="48"/>
      <c r="F112" s="48"/>
      <c r="G112" s="31"/>
      <c r="H112" s="41"/>
      <c r="I112" s="45">
        <f>SUM(I105:I111)</f>
        <v>1498.1</v>
      </c>
      <c r="J112" s="13"/>
      <c r="L112" s="2"/>
    </row>
    <row r="113" spans="1:12" ht="18.75" x14ac:dyDescent="0.3">
      <c r="A113" s="67" t="s">
        <v>78</v>
      </c>
      <c r="B113" s="68"/>
      <c r="C113" s="68"/>
      <c r="D113" s="68"/>
      <c r="E113" s="68"/>
      <c r="F113" s="68"/>
      <c r="G113" s="69"/>
      <c r="H113" s="5"/>
      <c r="I113" s="5"/>
      <c r="J113" s="13"/>
      <c r="L113" s="2"/>
    </row>
    <row r="114" spans="1:12" ht="38.25" customHeight="1" x14ac:dyDescent="0.25">
      <c r="A114" s="9" t="s">
        <v>23</v>
      </c>
      <c r="B114" s="5"/>
      <c r="C114" s="4"/>
      <c r="D114" s="15" t="s">
        <v>142</v>
      </c>
      <c r="E114" s="41"/>
      <c r="F114" s="41"/>
      <c r="G114" s="13" t="s">
        <v>54</v>
      </c>
      <c r="H114" s="41"/>
      <c r="I114" s="41"/>
      <c r="J114" s="13"/>
      <c r="L114" s="2"/>
    </row>
    <row r="115" spans="1:12" ht="38.25" customHeight="1" x14ac:dyDescent="0.25">
      <c r="A115" s="9"/>
      <c r="B115" s="5"/>
      <c r="C115" s="4"/>
      <c r="D115" s="15" t="s">
        <v>161</v>
      </c>
      <c r="E115" s="41"/>
      <c r="F115" s="41"/>
      <c r="G115" s="13" t="s">
        <v>31</v>
      </c>
      <c r="H115" s="41"/>
      <c r="I115" s="41" t="s">
        <v>141</v>
      </c>
      <c r="J115" s="13"/>
      <c r="L115" s="2"/>
    </row>
    <row r="116" spans="1:12" ht="18.75" x14ac:dyDescent="0.25">
      <c r="A116" s="9" t="s">
        <v>24</v>
      </c>
      <c r="B116" s="5"/>
      <c r="C116" s="4"/>
      <c r="D116" s="4" t="s">
        <v>77</v>
      </c>
      <c r="E116" s="41"/>
      <c r="F116" s="41"/>
      <c r="G116" s="13" t="s">
        <v>54</v>
      </c>
      <c r="H116" s="41"/>
      <c r="I116" s="41" t="s">
        <v>141</v>
      </c>
      <c r="J116" s="13"/>
      <c r="L116" s="2"/>
    </row>
    <row r="117" spans="1:12" ht="18.75" x14ac:dyDescent="0.25">
      <c r="A117" s="9" t="s">
        <v>128</v>
      </c>
      <c r="B117" s="5"/>
      <c r="C117" s="4"/>
      <c r="D117" s="15" t="s">
        <v>217</v>
      </c>
      <c r="E117" s="41"/>
      <c r="F117" s="41">
        <f>8</f>
        <v>8</v>
      </c>
      <c r="G117" s="13" t="s">
        <v>148</v>
      </c>
      <c r="H117" s="41">
        <f>1970/F117</f>
        <v>246.25</v>
      </c>
      <c r="I117" s="57">
        <f>F117*H117</f>
        <v>1970</v>
      </c>
      <c r="J117" s="13" t="s">
        <v>117</v>
      </c>
      <c r="L117" s="2"/>
    </row>
    <row r="118" spans="1:12" ht="18.75" x14ac:dyDescent="0.25">
      <c r="A118" s="9"/>
      <c r="B118" s="5"/>
      <c r="C118" s="4"/>
      <c r="D118" s="15" t="s">
        <v>162</v>
      </c>
      <c r="E118" s="41"/>
      <c r="F118" s="41">
        <v>8</v>
      </c>
      <c r="G118" s="13" t="s">
        <v>148</v>
      </c>
      <c r="H118" s="41">
        <f>1824.8/F118</f>
        <v>228.1</v>
      </c>
      <c r="I118" s="59">
        <f>F118*H118</f>
        <v>1824.8</v>
      </c>
      <c r="J118" s="13" t="s">
        <v>122</v>
      </c>
      <c r="L118" s="2"/>
    </row>
    <row r="119" spans="1:12" ht="31.5" x14ac:dyDescent="0.25">
      <c r="A119" s="9"/>
      <c r="B119" s="5"/>
      <c r="C119" s="4"/>
      <c r="D119" s="15" t="s">
        <v>129</v>
      </c>
      <c r="E119" s="41"/>
      <c r="F119" s="41">
        <f>2</f>
        <v>2</v>
      </c>
      <c r="G119" s="13" t="s">
        <v>31</v>
      </c>
      <c r="H119" s="41">
        <f>3778.8/F119</f>
        <v>1889.4</v>
      </c>
      <c r="I119" s="57">
        <f>F119*H119</f>
        <v>3778.8</v>
      </c>
      <c r="J119" s="13" t="s">
        <v>119</v>
      </c>
      <c r="L119" s="2"/>
    </row>
    <row r="120" spans="1:12" ht="18.75" x14ac:dyDescent="0.25">
      <c r="A120" s="9"/>
      <c r="B120" s="5"/>
      <c r="C120" s="4"/>
      <c r="D120" s="15" t="s">
        <v>216</v>
      </c>
      <c r="E120" s="41"/>
      <c r="F120" s="41">
        <v>1</v>
      </c>
      <c r="G120" s="13" t="s">
        <v>54</v>
      </c>
      <c r="H120" s="41">
        <f>2642.2/F120</f>
        <v>2642.2</v>
      </c>
      <c r="I120" s="57">
        <f>F120*H120</f>
        <v>2642.2</v>
      </c>
      <c r="J120" s="13" t="s">
        <v>119</v>
      </c>
      <c r="L120" s="2"/>
    </row>
    <row r="121" spans="1:12" ht="18.75" x14ac:dyDescent="0.25">
      <c r="A121" s="9"/>
      <c r="B121" s="5"/>
      <c r="C121" s="4"/>
      <c r="D121" s="15" t="s">
        <v>107</v>
      </c>
      <c r="E121" s="32"/>
      <c r="F121" s="13">
        <f>3</f>
        <v>3</v>
      </c>
      <c r="G121" s="13" t="s">
        <v>54</v>
      </c>
      <c r="H121" s="33">
        <f>521/F121</f>
        <v>173.66666666666666</v>
      </c>
      <c r="I121" s="13">
        <f t="shared" ref="I121" si="4">F121*H121</f>
        <v>521</v>
      </c>
      <c r="J121" s="13" t="s">
        <v>117</v>
      </c>
      <c r="L121" s="2"/>
    </row>
    <row r="122" spans="1:12" ht="18.75" x14ac:dyDescent="0.25">
      <c r="A122" s="9"/>
      <c r="B122" s="5"/>
      <c r="C122" s="4"/>
      <c r="D122" s="15" t="s">
        <v>202</v>
      </c>
      <c r="E122" s="41"/>
      <c r="F122" s="41">
        <f>1</f>
        <v>1</v>
      </c>
      <c r="G122" s="13" t="s">
        <v>31</v>
      </c>
      <c r="H122" s="41">
        <f>72.8/F122</f>
        <v>72.8</v>
      </c>
      <c r="I122" s="41">
        <f>F122*H122</f>
        <v>72.8</v>
      </c>
      <c r="J122" s="13"/>
      <c r="L122" s="2"/>
    </row>
    <row r="123" spans="1:12" ht="56.25" x14ac:dyDescent="0.25">
      <c r="A123" s="9" t="s">
        <v>108</v>
      </c>
      <c r="B123" s="5"/>
      <c r="C123" s="4"/>
      <c r="D123" s="15" t="s">
        <v>126</v>
      </c>
      <c r="E123" s="32"/>
      <c r="F123" s="13">
        <f>12+12+12+12+12+12+12+12+12+12+12+12</f>
        <v>144</v>
      </c>
      <c r="G123" s="13" t="s">
        <v>109</v>
      </c>
      <c r="H123" s="33">
        <f>(473.2+473.2+473.2+485.4+485.4+485.4+497.8+497.8+497.8+512+512+512)/F123</f>
        <v>41.00833333333334</v>
      </c>
      <c r="I123" s="13">
        <f>F123*H123</f>
        <v>5905.2000000000007</v>
      </c>
      <c r="J123" s="13" t="s">
        <v>117</v>
      </c>
      <c r="L123" s="2"/>
    </row>
    <row r="124" spans="1:12" ht="18.75" x14ac:dyDescent="0.25">
      <c r="A124" s="49"/>
      <c r="B124" s="22"/>
      <c r="C124" s="22"/>
      <c r="D124" s="30"/>
      <c r="E124" s="51"/>
      <c r="F124" s="52"/>
      <c r="G124" s="31"/>
      <c r="H124" s="31"/>
      <c r="I124" s="13">
        <f>SUM(I117:I123)</f>
        <v>16714.8</v>
      </c>
      <c r="J124" s="13"/>
      <c r="L124" s="2"/>
    </row>
    <row r="125" spans="1:12" ht="18.75" x14ac:dyDescent="0.25">
      <c r="A125" s="74" t="s">
        <v>91</v>
      </c>
      <c r="B125" s="75"/>
      <c r="C125" s="75"/>
      <c r="D125" s="75"/>
      <c r="E125" s="75"/>
      <c r="F125" s="75"/>
      <c r="G125" s="76"/>
      <c r="H125" s="12"/>
      <c r="I125" s="5"/>
      <c r="J125" s="13"/>
      <c r="L125" s="2"/>
    </row>
    <row r="126" spans="1:12" ht="18.75" x14ac:dyDescent="0.25">
      <c r="A126" s="26"/>
      <c r="B126" s="27"/>
      <c r="C126" s="27"/>
      <c r="D126" s="36" t="s">
        <v>118</v>
      </c>
      <c r="E126" s="41" t="s">
        <v>141</v>
      </c>
      <c r="F126" s="41" t="s">
        <v>141</v>
      </c>
      <c r="G126" s="38" t="s">
        <v>31</v>
      </c>
      <c r="H126" s="41" t="s">
        <v>141</v>
      </c>
      <c r="I126" s="41" t="s">
        <v>141</v>
      </c>
      <c r="J126" s="13"/>
      <c r="L126" s="2"/>
    </row>
    <row r="127" spans="1:12" ht="63" x14ac:dyDescent="0.25">
      <c r="A127" s="9" t="s">
        <v>89</v>
      </c>
      <c r="B127" s="22"/>
      <c r="C127" s="22"/>
      <c r="D127" s="23" t="s">
        <v>120</v>
      </c>
      <c r="E127" s="37">
        <v>103</v>
      </c>
      <c r="F127" s="13">
        <v>103</v>
      </c>
      <c r="G127" s="31" t="s">
        <v>90</v>
      </c>
      <c r="H127" s="31">
        <v>4.8</v>
      </c>
      <c r="I127" s="13">
        <f>F127*H127*12</f>
        <v>5932.7999999999993</v>
      </c>
      <c r="J127" s="13" t="s">
        <v>117</v>
      </c>
      <c r="L127" s="2"/>
    </row>
    <row r="128" spans="1:12" ht="18.75" x14ac:dyDescent="0.25">
      <c r="A128" s="49"/>
      <c r="B128" s="22"/>
      <c r="C128" s="22"/>
      <c r="D128" s="30"/>
      <c r="E128" s="51"/>
      <c r="F128" s="52"/>
      <c r="G128" s="31"/>
      <c r="H128" s="31"/>
      <c r="I128" s="33">
        <f>SUM(I127)</f>
        <v>5932.7999999999993</v>
      </c>
      <c r="J128" s="13"/>
      <c r="L128" s="2"/>
    </row>
    <row r="129" spans="1:12" ht="18.75" x14ac:dyDescent="0.3">
      <c r="A129" s="67" t="s">
        <v>79</v>
      </c>
      <c r="B129" s="68"/>
      <c r="C129" s="68"/>
      <c r="D129" s="68"/>
      <c r="E129" s="68"/>
      <c r="F129" s="68"/>
      <c r="G129" s="69"/>
      <c r="H129" s="19"/>
      <c r="I129" s="5"/>
      <c r="J129" s="13"/>
      <c r="L129" s="2"/>
    </row>
    <row r="130" spans="1:12" ht="46.5" customHeight="1" x14ac:dyDescent="0.3">
      <c r="A130" s="34" t="s">
        <v>133</v>
      </c>
      <c r="B130" s="24"/>
      <c r="C130" s="24"/>
      <c r="D130" s="46" t="s">
        <v>183</v>
      </c>
      <c r="E130" s="31">
        <v>16</v>
      </c>
      <c r="F130" s="31">
        <v>16</v>
      </c>
      <c r="G130" s="13" t="s">
        <v>140</v>
      </c>
      <c r="H130" s="31">
        <v>76.900000000000006</v>
      </c>
      <c r="I130" s="31">
        <f>F130*H130*4</f>
        <v>4921.6000000000004</v>
      </c>
      <c r="J130" s="13" t="s">
        <v>117</v>
      </c>
      <c r="L130" s="2"/>
    </row>
    <row r="131" spans="1:12" ht="46.5" customHeight="1" x14ac:dyDescent="0.3">
      <c r="A131" s="34"/>
      <c r="B131" s="24"/>
      <c r="C131" s="44"/>
      <c r="D131" s="35" t="s">
        <v>132</v>
      </c>
      <c r="E131" s="31">
        <v>32</v>
      </c>
      <c r="F131" s="31">
        <v>32</v>
      </c>
      <c r="G131" s="13" t="s">
        <v>140</v>
      </c>
      <c r="H131" s="31">
        <v>26</v>
      </c>
      <c r="I131" s="31">
        <f>F131*H131*4</f>
        <v>3328</v>
      </c>
      <c r="J131" s="13" t="s">
        <v>117</v>
      </c>
      <c r="L131" s="2"/>
    </row>
    <row r="132" spans="1:12" ht="46.5" customHeight="1" x14ac:dyDescent="0.3">
      <c r="A132" s="34"/>
      <c r="B132" s="24"/>
      <c r="C132" s="44"/>
      <c r="D132" s="46" t="s">
        <v>193</v>
      </c>
      <c r="E132" s="41" t="s">
        <v>141</v>
      </c>
      <c r="F132" s="41">
        <f>1</f>
        <v>1</v>
      </c>
      <c r="G132" s="13" t="s">
        <v>31</v>
      </c>
      <c r="H132" s="41">
        <f>(490)/F132</f>
        <v>490</v>
      </c>
      <c r="I132" s="57">
        <f>F132*H132</f>
        <v>490</v>
      </c>
      <c r="J132" s="13" t="s">
        <v>194</v>
      </c>
      <c r="L132" s="2"/>
    </row>
    <row r="133" spans="1:12" ht="46.5" customHeight="1" x14ac:dyDescent="0.3">
      <c r="A133" s="34"/>
      <c r="B133" s="24"/>
      <c r="C133" s="47"/>
      <c r="D133" s="46" t="s">
        <v>195</v>
      </c>
      <c r="E133" s="41"/>
      <c r="F133" s="41">
        <v>0.5</v>
      </c>
      <c r="G133" s="13" t="s">
        <v>196</v>
      </c>
      <c r="H133" s="41">
        <f>512/F133</f>
        <v>1024</v>
      </c>
      <c r="I133" s="57">
        <f>F133*H133</f>
        <v>512</v>
      </c>
      <c r="J133" s="13" t="s">
        <v>194</v>
      </c>
      <c r="L133" s="2"/>
    </row>
    <row r="134" spans="1:12" ht="18.75" x14ac:dyDescent="0.25">
      <c r="A134" s="9" t="s">
        <v>25</v>
      </c>
      <c r="B134" s="5"/>
      <c r="C134" s="4"/>
      <c r="D134" s="4" t="s">
        <v>75</v>
      </c>
      <c r="E134" s="41" t="s">
        <v>141</v>
      </c>
      <c r="F134" s="41" t="s">
        <v>141</v>
      </c>
      <c r="G134" s="14" t="s">
        <v>54</v>
      </c>
      <c r="H134" s="41" t="s">
        <v>141</v>
      </c>
      <c r="I134" s="41" t="s">
        <v>141</v>
      </c>
      <c r="J134" s="13"/>
      <c r="L134" s="2"/>
    </row>
    <row r="135" spans="1:12" ht="47.25" x14ac:dyDescent="0.25">
      <c r="A135" s="9" t="s">
        <v>26</v>
      </c>
      <c r="B135" s="5"/>
      <c r="C135" s="4"/>
      <c r="D135" s="15" t="s">
        <v>28</v>
      </c>
      <c r="E135" s="41" t="s">
        <v>141</v>
      </c>
      <c r="F135" s="41" t="s">
        <v>141</v>
      </c>
      <c r="G135" s="14" t="s">
        <v>54</v>
      </c>
      <c r="H135" s="41" t="s">
        <v>141</v>
      </c>
      <c r="I135" s="41" t="s">
        <v>141</v>
      </c>
      <c r="J135" s="13"/>
      <c r="L135" s="2"/>
    </row>
    <row r="136" spans="1:12" ht="31.5" x14ac:dyDescent="0.25">
      <c r="A136" s="9" t="s">
        <v>27</v>
      </c>
      <c r="B136" s="5"/>
      <c r="C136" s="4"/>
      <c r="D136" s="15" t="s">
        <v>74</v>
      </c>
      <c r="E136" s="41" t="s">
        <v>141</v>
      </c>
      <c r="F136" s="41" t="s">
        <v>141</v>
      </c>
      <c r="G136" s="14" t="s">
        <v>54</v>
      </c>
      <c r="H136" s="41" t="s">
        <v>141</v>
      </c>
      <c r="I136" s="41" t="s">
        <v>141</v>
      </c>
      <c r="J136" s="13"/>
      <c r="L136" s="2"/>
    </row>
    <row r="137" spans="1:12" ht="18.75" x14ac:dyDescent="0.25">
      <c r="A137" s="49"/>
      <c r="B137" s="22"/>
      <c r="C137" s="22"/>
      <c r="D137" s="30"/>
      <c r="E137" s="48"/>
      <c r="F137" s="48"/>
      <c r="G137" s="12"/>
      <c r="H137" s="62"/>
      <c r="I137" s="63">
        <f>SUM(I130:I136)</f>
        <v>9251.6</v>
      </c>
      <c r="J137" s="13"/>
      <c r="L137" s="2"/>
    </row>
    <row r="138" spans="1:12" ht="18.75" x14ac:dyDescent="0.3">
      <c r="A138" s="67" t="s">
        <v>84</v>
      </c>
      <c r="B138" s="68"/>
      <c r="C138" s="68"/>
      <c r="D138" s="68"/>
      <c r="E138" s="68"/>
      <c r="F138" s="68"/>
      <c r="G138" s="69"/>
      <c r="H138" s="25"/>
      <c r="I138" s="25"/>
      <c r="J138" s="25"/>
      <c r="K138" s="2"/>
      <c r="L138" s="2"/>
    </row>
    <row r="139" spans="1:12" ht="48" x14ac:dyDescent="0.3">
      <c r="A139" s="6" t="s">
        <v>66</v>
      </c>
      <c r="B139" s="6"/>
      <c r="C139" s="4"/>
      <c r="D139" s="15" t="s">
        <v>85</v>
      </c>
      <c r="E139" s="41"/>
      <c r="F139" s="41"/>
      <c r="G139" s="13" t="s">
        <v>114</v>
      </c>
      <c r="H139" s="41">
        <v>448.46</v>
      </c>
      <c r="I139" s="45">
        <f>F139*H139</f>
        <v>0</v>
      </c>
      <c r="J139" s="13" t="s">
        <v>124</v>
      </c>
      <c r="L139" s="2"/>
    </row>
    <row r="140" spans="1:12" ht="32.25" x14ac:dyDescent="0.3">
      <c r="A140" s="28"/>
      <c r="B140" s="29"/>
      <c r="C140" s="22"/>
      <c r="D140" s="30" t="s">
        <v>110</v>
      </c>
      <c r="E140" s="41">
        <v>1</v>
      </c>
      <c r="F140" s="41">
        <v>1</v>
      </c>
      <c r="G140" s="13" t="s">
        <v>111</v>
      </c>
      <c r="H140" s="41">
        <v>4840</v>
      </c>
      <c r="I140" s="45">
        <f>F140*H140</f>
        <v>4840</v>
      </c>
      <c r="J140" s="39" t="s">
        <v>119</v>
      </c>
      <c r="L140" s="2"/>
    </row>
    <row r="141" spans="1:12" ht="18.75" x14ac:dyDescent="0.3">
      <c r="A141" s="28"/>
      <c r="B141" s="29"/>
      <c r="C141" s="22"/>
      <c r="D141" s="30"/>
      <c r="E141" s="48"/>
      <c r="F141" s="48"/>
      <c r="G141" s="31"/>
      <c r="H141" s="48"/>
      <c r="I141" s="54">
        <f>SUM(I139:I140)</f>
        <v>4840</v>
      </c>
      <c r="J141" s="53"/>
      <c r="L141" s="2"/>
    </row>
    <row r="142" spans="1:12" ht="18.75" x14ac:dyDescent="0.3">
      <c r="A142" s="67" t="s">
        <v>99</v>
      </c>
      <c r="B142" s="68"/>
      <c r="C142" s="68"/>
      <c r="D142" s="68"/>
      <c r="E142" s="68"/>
      <c r="F142" s="68"/>
      <c r="G142" s="69"/>
      <c r="H142" s="67"/>
      <c r="I142" s="68"/>
      <c r="J142" s="68"/>
      <c r="L142" s="2"/>
    </row>
    <row r="143" spans="1:12" ht="32.25" x14ac:dyDescent="0.3">
      <c r="A143" s="34" t="s">
        <v>149</v>
      </c>
      <c r="B143" s="24"/>
      <c r="C143" s="24"/>
      <c r="D143" s="40" t="s">
        <v>135</v>
      </c>
      <c r="E143" s="13"/>
      <c r="F143" s="13">
        <f>2+2</f>
        <v>4</v>
      </c>
      <c r="G143" s="13" t="s">
        <v>136</v>
      </c>
      <c r="H143" s="13">
        <v>800</v>
      </c>
      <c r="I143" s="58">
        <f t="shared" ref="I143:I145" si="5">F143*H143</f>
        <v>3200</v>
      </c>
      <c r="J143" s="13" t="s">
        <v>125</v>
      </c>
      <c r="L143" s="2"/>
    </row>
    <row r="144" spans="1:12" ht="48" x14ac:dyDescent="0.3">
      <c r="A144" s="24"/>
      <c r="B144" s="24"/>
      <c r="C144" s="24"/>
      <c r="D144" s="40" t="s">
        <v>137</v>
      </c>
      <c r="E144" s="41"/>
      <c r="F144" s="41">
        <f>20</f>
        <v>20</v>
      </c>
      <c r="G144" s="13" t="s">
        <v>138</v>
      </c>
      <c r="H144" s="41">
        <f>13000/F144</f>
        <v>650</v>
      </c>
      <c r="I144" s="57">
        <f>F144*H144</f>
        <v>13000</v>
      </c>
      <c r="J144" s="13" t="s">
        <v>125</v>
      </c>
      <c r="L144" s="2"/>
    </row>
    <row r="145" spans="1:12" ht="32.25" x14ac:dyDescent="0.3">
      <c r="A145" s="24"/>
      <c r="B145" s="24"/>
      <c r="C145" s="24"/>
      <c r="D145" s="40" t="s">
        <v>197</v>
      </c>
      <c r="E145" s="13"/>
      <c r="F145" s="13">
        <f>10+80+10</f>
        <v>100</v>
      </c>
      <c r="G145" s="13" t="s">
        <v>139</v>
      </c>
      <c r="H145" s="13">
        <f>(500+4000+500+1833)/F145</f>
        <v>68.33</v>
      </c>
      <c r="I145" s="58">
        <f t="shared" si="5"/>
        <v>6833</v>
      </c>
      <c r="J145" s="13" t="s">
        <v>125</v>
      </c>
      <c r="L145" s="2"/>
    </row>
    <row r="146" spans="1:12" ht="32.25" x14ac:dyDescent="0.3">
      <c r="A146" s="24"/>
      <c r="B146" s="24"/>
      <c r="C146" s="24"/>
      <c r="D146" s="40" t="s">
        <v>198</v>
      </c>
      <c r="E146" s="13"/>
      <c r="F146" s="13">
        <f>5+15+35</f>
        <v>55</v>
      </c>
      <c r="G146" s="13" t="s">
        <v>139</v>
      </c>
      <c r="H146" s="33">
        <f>(208+625+1458)/F146</f>
        <v>41.654545454545456</v>
      </c>
      <c r="I146" s="58">
        <f t="shared" ref="I146" si="6">F146*H146</f>
        <v>2291</v>
      </c>
      <c r="J146" s="13" t="s">
        <v>125</v>
      </c>
      <c r="L146" s="2"/>
    </row>
    <row r="147" spans="1:12" ht="18.75" x14ac:dyDescent="0.3">
      <c r="A147" s="24"/>
      <c r="B147" s="24"/>
      <c r="C147" s="24"/>
      <c r="D147" s="46" t="s">
        <v>219</v>
      </c>
      <c r="E147" s="41" t="s">
        <v>141</v>
      </c>
      <c r="F147" s="41">
        <v>12</v>
      </c>
      <c r="G147" s="13" t="s">
        <v>31</v>
      </c>
      <c r="H147" s="45">
        <f>(16839.8)/F147</f>
        <v>1403.3166666666666</v>
      </c>
      <c r="I147" s="57">
        <f>F147*H147</f>
        <v>16839.8</v>
      </c>
      <c r="J147" s="13" t="s">
        <v>122</v>
      </c>
      <c r="L147" s="2"/>
    </row>
    <row r="148" spans="1:12" ht="18.75" x14ac:dyDescent="0.3">
      <c r="A148" s="34" t="s">
        <v>156</v>
      </c>
      <c r="B148" s="14"/>
      <c r="C148" s="14"/>
      <c r="D148" s="40" t="s">
        <v>203</v>
      </c>
      <c r="E148" s="41" t="s">
        <v>141</v>
      </c>
      <c r="F148" s="41">
        <f>1</f>
        <v>1</v>
      </c>
      <c r="G148" s="13" t="s">
        <v>31</v>
      </c>
      <c r="H148" s="41">
        <v>6200</v>
      </c>
      <c r="I148" s="57">
        <f>F148*H148</f>
        <v>6200</v>
      </c>
      <c r="J148" s="14" t="s">
        <v>119</v>
      </c>
      <c r="L148" s="2"/>
    </row>
    <row r="149" spans="1:12" ht="18.75" x14ac:dyDescent="0.3">
      <c r="A149" s="34"/>
      <c r="B149" s="14"/>
      <c r="C149" s="14"/>
      <c r="D149" s="40"/>
      <c r="E149" s="41"/>
      <c r="F149" s="41"/>
      <c r="G149" s="13"/>
      <c r="H149" s="41"/>
      <c r="I149" s="41">
        <f>SUM(I143:I148)</f>
        <v>48363.8</v>
      </c>
      <c r="J149" s="14"/>
      <c r="L149" s="2"/>
    </row>
    <row r="150" spans="1:12" ht="18.75" x14ac:dyDescent="0.3">
      <c r="A150" s="60" t="s">
        <v>220</v>
      </c>
      <c r="B150" s="14"/>
      <c r="C150" s="14"/>
      <c r="D150" s="43"/>
      <c r="E150" s="14"/>
      <c r="F150" s="14"/>
      <c r="G150" s="38"/>
      <c r="H150" s="14"/>
      <c r="I150" s="61">
        <f>I8+I23+I24+I25+I27+I32+I42+I43+I46+I48+I49+I50+I51+I52+I53+I54+I55+I56+I70+I71+I72+I78+I117+I118+I119+I120+I132+I133+I143+I144+I145+I146+I147+I148</f>
        <v>193024.4</v>
      </c>
      <c r="J150" s="14"/>
      <c r="L150" s="2"/>
    </row>
    <row r="151" spans="1:12" ht="15.75" x14ac:dyDescent="0.25">
      <c r="A151" s="55" t="s">
        <v>191</v>
      </c>
      <c r="B151" s="25"/>
      <c r="C151" s="25"/>
      <c r="D151" s="43"/>
      <c r="E151" s="13"/>
      <c r="F151" s="13"/>
      <c r="G151" s="38"/>
      <c r="H151" s="13"/>
      <c r="I151" s="56">
        <f>I18+I39+I63+I85+I103+I112+I124+I128+I137+I141+I149</f>
        <v>342894.39999999991</v>
      </c>
      <c r="J151" s="14"/>
      <c r="K151" s="2"/>
      <c r="L151" s="2"/>
    </row>
    <row r="152" spans="1:12" ht="99.75" customHeight="1" x14ac:dyDescent="0.25">
      <c r="A152" s="64" t="s">
        <v>106</v>
      </c>
      <c r="B152" s="64"/>
      <c r="C152" s="64"/>
      <c r="D152" s="64"/>
      <c r="E152" s="64"/>
      <c r="F152" s="64"/>
      <c r="G152" s="64"/>
      <c r="H152" s="64"/>
      <c r="I152" s="64"/>
      <c r="J152" s="64"/>
      <c r="K152" s="2"/>
      <c r="L152" s="2"/>
    </row>
    <row r="153" spans="1:12" ht="15.75" x14ac:dyDescent="0.25">
      <c r="A153" s="2"/>
      <c r="B153" s="2"/>
      <c r="C153" s="2"/>
      <c r="D153" s="16"/>
      <c r="E153" s="16"/>
      <c r="F153" s="2"/>
      <c r="G153" s="2"/>
      <c r="H153" s="2"/>
      <c r="I153" s="2"/>
      <c r="J153" s="2"/>
      <c r="K153" s="2"/>
      <c r="L153" s="2"/>
    </row>
    <row r="154" spans="1:12" ht="15.75" x14ac:dyDescent="0.25">
      <c r="A154" s="2"/>
      <c r="B154" s="2"/>
      <c r="C154" s="2"/>
      <c r="D154" s="16"/>
      <c r="E154" s="16"/>
      <c r="F154" s="2"/>
      <c r="G154" s="2"/>
      <c r="H154" s="2"/>
      <c r="I154" s="2"/>
      <c r="J154" s="2"/>
      <c r="K154" s="2"/>
      <c r="L154" s="2"/>
    </row>
    <row r="155" spans="1:12" ht="15.75" x14ac:dyDescent="0.25">
      <c r="A155" s="2"/>
      <c r="B155" s="2"/>
      <c r="C155" s="2"/>
      <c r="D155" s="16"/>
      <c r="E155" s="16"/>
      <c r="F155" s="2"/>
      <c r="G155" s="2"/>
      <c r="H155" s="2"/>
      <c r="I155" s="2"/>
      <c r="J155" s="2"/>
      <c r="K155" s="2"/>
      <c r="L155" s="2"/>
    </row>
    <row r="156" spans="1:12" ht="15.75" x14ac:dyDescent="0.25">
      <c r="A156" s="2"/>
      <c r="B156" s="2"/>
      <c r="C156" s="2"/>
      <c r="D156" s="16"/>
      <c r="E156" s="16"/>
      <c r="F156" s="2"/>
      <c r="G156" s="2"/>
      <c r="H156" s="2"/>
      <c r="I156" s="2"/>
      <c r="J156" s="2"/>
      <c r="K156" s="2"/>
      <c r="L156" s="2"/>
    </row>
    <row r="157" spans="1:12" ht="15.75" x14ac:dyDescent="0.25">
      <c r="A157" s="2"/>
      <c r="B157" s="2"/>
      <c r="C157" s="2"/>
      <c r="D157" s="16"/>
      <c r="E157" s="16"/>
      <c r="F157" s="2"/>
      <c r="G157" s="2"/>
      <c r="H157" s="2"/>
      <c r="I157" s="2"/>
      <c r="J157" s="2"/>
      <c r="K157" s="2"/>
      <c r="L157" s="2"/>
    </row>
    <row r="158" spans="1:12" ht="15.75" x14ac:dyDescent="0.25">
      <c r="A158" s="2"/>
      <c r="B158" s="2"/>
      <c r="C158" s="2"/>
      <c r="D158" s="16"/>
      <c r="E158" s="16"/>
      <c r="F158" s="2"/>
      <c r="G158" s="2"/>
      <c r="H158" s="2"/>
      <c r="I158" s="2"/>
      <c r="J158" s="2"/>
      <c r="K158" s="2"/>
      <c r="L158" s="2"/>
    </row>
    <row r="159" spans="1:12" ht="15.75" x14ac:dyDescent="0.25">
      <c r="A159" s="2"/>
      <c r="B159" s="2"/>
      <c r="C159" s="2"/>
      <c r="D159" s="16"/>
      <c r="E159" s="16"/>
      <c r="F159" s="2"/>
      <c r="G159" s="2"/>
      <c r="H159" s="2"/>
      <c r="I159" s="2"/>
      <c r="J159" s="2"/>
      <c r="K159" s="2"/>
      <c r="L159" s="2"/>
    </row>
    <row r="160" spans="1:12" ht="15.75" x14ac:dyDescent="0.25">
      <c r="A160" s="2"/>
      <c r="B160" s="2"/>
      <c r="C160" s="2"/>
      <c r="D160" s="16"/>
      <c r="E160" s="16"/>
      <c r="F160" s="2"/>
      <c r="G160" s="2"/>
      <c r="H160" s="2"/>
      <c r="I160" s="2"/>
      <c r="J160" s="2"/>
      <c r="K160" s="2"/>
      <c r="L160" s="2"/>
    </row>
    <row r="161" spans="1:12" ht="15.75" x14ac:dyDescent="0.25">
      <c r="A161" s="2"/>
      <c r="B161" s="2"/>
      <c r="C161" s="2"/>
      <c r="D161" s="16"/>
      <c r="E161" s="16"/>
      <c r="F161" s="2"/>
      <c r="G161" s="2"/>
      <c r="H161" s="2"/>
      <c r="I161" s="2"/>
      <c r="J161" s="2"/>
      <c r="K161" s="2"/>
      <c r="L161" s="2"/>
    </row>
    <row r="162" spans="1:12" ht="15.75" x14ac:dyDescent="0.25">
      <c r="A162" s="2"/>
      <c r="B162" s="2"/>
      <c r="C162" s="2"/>
      <c r="D162" s="16"/>
      <c r="E162" s="16"/>
      <c r="F162" s="2"/>
      <c r="G162" s="2"/>
      <c r="H162" s="2"/>
      <c r="I162" s="2"/>
      <c r="J162" s="2"/>
      <c r="K162" s="2"/>
      <c r="L162" s="2"/>
    </row>
    <row r="163" spans="1:12" ht="15.75" x14ac:dyDescent="0.25">
      <c r="A163" s="2"/>
      <c r="B163" s="2"/>
      <c r="C163" s="2"/>
      <c r="D163" s="16"/>
      <c r="E163" s="16"/>
      <c r="F163" s="2"/>
      <c r="G163" s="2"/>
      <c r="H163" s="2"/>
      <c r="I163" s="2"/>
      <c r="J163" s="2"/>
      <c r="K163" s="2"/>
      <c r="L163" s="2"/>
    </row>
    <row r="164" spans="1:12" ht="15.75" x14ac:dyDescent="0.25">
      <c r="A164" s="2"/>
      <c r="B164" s="2"/>
      <c r="C164" s="2"/>
      <c r="D164" s="16"/>
      <c r="E164" s="16"/>
      <c r="F164" s="2"/>
      <c r="G164" s="2"/>
      <c r="H164" s="2"/>
      <c r="I164" s="2"/>
      <c r="J164" s="2"/>
      <c r="K164" s="2"/>
      <c r="L164" s="2"/>
    </row>
    <row r="165" spans="1:12" ht="15.75" x14ac:dyDescent="0.25">
      <c r="A165" s="2"/>
      <c r="B165" s="2"/>
      <c r="C165" s="2"/>
      <c r="D165" s="16"/>
      <c r="E165" s="16"/>
      <c r="F165" s="2"/>
      <c r="G165" s="2"/>
      <c r="H165" s="2"/>
      <c r="I165" s="2"/>
      <c r="J165" s="2"/>
      <c r="K165" s="2"/>
      <c r="L165" s="2"/>
    </row>
    <row r="166" spans="1:12" ht="15.75" x14ac:dyDescent="0.25">
      <c r="A166" s="2"/>
      <c r="B166" s="2"/>
      <c r="C166" s="2"/>
      <c r="D166" s="16"/>
      <c r="E166" s="16"/>
      <c r="F166" s="2"/>
      <c r="G166" s="2"/>
      <c r="H166" s="2"/>
      <c r="I166" s="2"/>
      <c r="J166" s="2"/>
      <c r="K166" s="2"/>
      <c r="L166" s="2"/>
    </row>
    <row r="167" spans="1:12" ht="15.75" x14ac:dyDescent="0.25">
      <c r="A167" s="2"/>
      <c r="B167" s="2"/>
      <c r="C167" s="2"/>
      <c r="D167" s="16"/>
      <c r="E167" s="16"/>
      <c r="F167" s="2"/>
      <c r="G167" s="2"/>
      <c r="H167" s="2"/>
      <c r="I167" s="2"/>
      <c r="J167" s="2"/>
      <c r="K167" s="2"/>
      <c r="L167" s="2"/>
    </row>
    <row r="168" spans="1:12" ht="15.75" x14ac:dyDescent="0.25">
      <c r="A168" s="2"/>
      <c r="B168" s="2"/>
      <c r="C168" s="2"/>
      <c r="D168" s="16"/>
      <c r="E168" s="16"/>
      <c r="F168" s="2"/>
      <c r="G168" s="2"/>
      <c r="H168" s="2"/>
      <c r="I168" s="2"/>
      <c r="J168" s="2"/>
      <c r="K168" s="2"/>
      <c r="L168" s="2"/>
    </row>
    <row r="169" spans="1:12" ht="15.75" x14ac:dyDescent="0.25">
      <c r="A169" s="2"/>
      <c r="B169" s="2"/>
      <c r="C169" s="2"/>
      <c r="D169" s="16"/>
      <c r="E169" s="16"/>
      <c r="F169" s="2"/>
      <c r="G169" s="2"/>
      <c r="H169" s="2"/>
      <c r="I169" s="2"/>
      <c r="J169" s="2"/>
      <c r="K169" s="2"/>
      <c r="L169" s="2"/>
    </row>
    <row r="170" spans="1:12" ht="15.75" x14ac:dyDescent="0.25">
      <c r="A170" s="2"/>
      <c r="B170" s="2"/>
      <c r="C170" s="2"/>
      <c r="D170" s="16"/>
      <c r="E170" s="16"/>
      <c r="F170" s="2"/>
      <c r="G170" s="2"/>
      <c r="H170" s="2"/>
      <c r="I170" s="2"/>
      <c r="J170" s="2"/>
      <c r="K170" s="2"/>
      <c r="L170" s="2"/>
    </row>
    <row r="171" spans="1:12" ht="15.75" x14ac:dyDescent="0.25">
      <c r="A171" s="2"/>
      <c r="B171" s="2"/>
      <c r="C171" s="2"/>
      <c r="D171" s="16"/>
      <c r="E171" s="16"/>
      <c r="F171" s="2"/>
      <c r="G171" s="2"/>
      <c r="H171" s="2"/>
      <c r="I171" s="2"/>
      <c r="J171" s="2"/>
      <c r="K171" s="2"/>
      <c r="L171" s="2"/>
    </row>
    <row r="172" spans="1:12" ht="15.75" x14ac:dyDescent="0.25">
      <c r="A172" s="2"/>
      <c r="B172" s="2"/>
      <c r="C172" s="2"/>
      <c r="D172" s="16"/>
      <c r="E172" s="16"/>
      <c r="F172" s="2"/>
      <c r="G172" s="2"/>
      <c r="H172" s="2"/>
      <c r="I172" s="2"/>
      <c r="J172" s="2"/>
      <c r="K172" s="2"/>
      <c r="L172" s="2"/>
    </row>
    <row r="173" spans="1:12" ht="15.75" x14ac:dyDescent="0.25">
      <c r="A173" s="2"/>
      <c r="B173" s="2"/>
      <c r="C173" s="2"/>
      <c r="D173" s="16"/>
      <c r="E173" s="16"/>
      <c r="F173" s="2"/>
      <c r="G173" s="2"/>
      <c r="H173" s="2"/>
      <c r="I173" s="2"/>
      <c r="J173" s="2"/>
      <c r="K173" s="2"/>
      <c r="L173" s="2"/>
    </row>
    <row r="174" spans="1:12" ht="15.75" x14ac:dyDescent="0.25">
      <c r="A174" s="2"/>
      <c r="B174" s="2"/>
      <c r="C174" s="2"/>
      <c r="D174" s="16"/>
      <c r="E174" s="16"/>
      <c r="F174" s="2"/>
      <c r="G174" s="2"/>
      <c r="H174" s="2"/>
      <c r="I174" s="2"/>
      <c r="J174" s="2"/>
      <c r="K174" s="2"/>
      <c r="L174" s="2"/>
    </row>
    <row r="175" spans="1:12" ht="15.75" x14ac:dyDescent="0.25">
      <c r="A175" s="2"/>
      <c r="B175" s="2"/>
      <c r="C175" s="2"/>
      <c r="D175" s="16"/>
      <c r="E175" s="16"/>
      <c r="F175" s="2"/>
      <c r="G175" s="2"/>
      <c r="H175" s="2"/>
      <c r="I175" s="2"/>
      <c r="J175" s="2"/>
      <c r="K175" s="2"/>
      <c r="L175" s="2"/>
    </row>
    <row r="176" spans="1:12" ht="15.75" x14ac:dyDescent="0.25">
      <c r="A176" s="2"/>
      <c r="B176" s="2"/>
      <c r="C176" s="2"/>
      <c r="D176" s="16"/>
      <c r="E176" s="16"/>
      <c r="F176" s="2"/>
      <c r="G176" s="2"/>
      <c r="H176" s="2"/>
      <c r="I176" s="2"/>
      <c r="J176" s="2"/>
      <c r="K176" s="2"/>
      <c r="L176" s="2"/>
    </row>
    <row r="177" spans="1:12" ht="15.75" x14ac:dyDescent="0.25">
      <c r="A177" s="2"/>
      <c r="B177" s="2"/>
      <c r="C177" s="2"/>
      <c r="D177" s="16"/>
      <c r="E177" s="16"/>
      <c r="F177" s="2"/>
      <c r="G177" s="2"/>
      <c r="H177" s="2"/>
      <c r="I177" s="2"/>
      <c r="J177" s="2"/>
      <c r="K177" s="2"/>
      <c r="L177" s="2"/>
    </row>
    <row r="178" spans="1:12" ht="15.75" x14ac:dyDescent="0.25">
      <c r="A178" s="2"/>
      <c r="B178" s="2"/>
      <c r="C178" s="2"/>
      <c r="D178" s="16"/>
      <c r="E178" s="16"/>
      <c r="F178" s="2"/>
      <c r="G178" s="2"/>
      <c r="H178" s="2"/>
      <c r="I178" s="2"/>
      <c r="J178" s="2"/>
      <c r="K178" s="2"/>
      <c r="L178" s="2"/>
    </row>
  </sheetData>
  <mergeCells count="16">
    <mergeCell ref="A152:J152"/>
    <mergeCell ref="A2:J2"/>
    <mergeCell ref="A142:G142"/>
    <mergeCell ref="H142:J142"/>
    <mergeCell ref="I1:J1"/>
    <mergeCell ref="A93:G93"/>
    <mergeCell ref="A113:G113"/>
    <mergeCell ref="A138:G138"/>
    <mergeCell ref="A40:G40"/>
    <mergeCell ref="A19:G19"/>
    <mergeCell ref="A4:G4"/>
    <mergeCell ref="A125:G125"/>
    <mergeCell ref="A64:G64"/>
    <mergeCell ref="A86:G86"/>
    <mergeCell ref="A104:G104"/>
    <mergeCell ref="A129:G129"/>
  </mergeCells>
  <pageMargins left="0.78740157480314965" right="0.70866141732283472" top="0" bottom="0.59055118110236227" header="0" footer="0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Титульный</vt:lpstr>
    </vt:vector>
  </TitlesOfParts>
  <Company>diakov.net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Пользователь</cp:lastModifiedBy>
  <cp:lastPrinted>2022-03-17T13:00:52Z</cp:lastPrinted>
  <dcterms:created xsi:type="dcterms:W3CDTF">2017-05-29T12:14:13Z</dcterms:created>
  <dcterms:modified xsi:type="dcterms:W3CDTF">2024-03-06T12:13:11Z</dcterms:modified>
</cp:coreProperties>
</file>