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3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33" i="1" l="1"/>
  <c r="I131" i="1"/>
  <c r="I107" i="1"/>
  <c r="I92" i="1"/>
  <c r="I87" i="1"/>
  <c r="I78" i="1"/>
  <c r="H123" i="1" l="1"/>
  <c r="I123" i="1" s="1"/>
  <c r="F123" i="1"/>
  <c r="F79" i="1"/>
  <c r="H79" i="1" s="1"/>
  <c r="H71" i="1"/>
  <c r="F71" i="1"/>
  <c r="I71" i="1" s="1"/>
  <c r="F122" i="1"/>
  <c r="H122" i="1" s="1"/>
  <c r="H126" i="1"/>
  <c r="F126" i="1"/>
  <c r="H125" i="1"/>
  <c r="F125" i="1"/>
  <c r="H88" i="1"/>
  <c r="F88" i="1"/>
  <c r="H89" i="1"/>
  <c r="F89" i="1"/>
  <c r="H90" i="1"/>
  <c r="F90" i="1"/>
  <c r="F106" i="1"/>
  <c r="H104" i="1"/>
  <c r="F104" i="1"/>
  <c r="I62" i="1"/>
  <c r="H62" i="1"/>
  <c r="F62" i="1"/>
  <c r="I79" i="1" l="1"/>
  <c r="I24" i="1"/>
  <c r="H55" i="1"/>
  <c r="F55" i="1"/>
  <c r="I58" i="1"/>
  <c r="H58" i="1"/>
  <c r="F58" i="1"/>
  <c r="I130" i="1"/>
  <c r="H130" i="1"/>
  <c r="F130" i="1"/>
  <c r="I52" i="1"/>
  <c r="H52" i="1"/>
  <c r="F52" i="1"/>
  <c r="H46" i="1"/>
  <c r="H45" i="1"/>
  <c r="I45" i="1"/>
  <c r="H44" i="1"/>
  <c r="F44" i="1"/>
  <c r="H43" i="1"/>
  <c r="F43" i="1"/>
  <c r="I49" i="1"/>
  <c r="H49" i="1"/>
  <c r="F49" i="1"/>
  <c r="H39" i="1"/>
  <c r="F39" i="1"/>
  <c r="H38" i="1"/>
  <c r="F38" i="1"/>
  <c r="H40" i="1"/>
  <c r="I40" i="1" s="1"/>
  <c r="H99" i="1"/>
  <c r="F99" i="1"/>
  <c r="H98" i="1"/>
  <c r="F98" i="1"/>
  <c r="H74" i="1"/>
  <c r="F74" i="1"/>
  <c r="H84" i="1"/>
  <c r="F84" i="1"/>
  <c r="I84" i="1" s="1"/>
  <c r="H83" i="1"/>
  <c r="F83" i="1"/>
  <c r="H106" i="1"/>
  <c r="H59" i="1"/>
  <c r="I46" i="1" l="1"/>
  <c r="I83" i="1"/>
  <c r="I98" i="1"/>
  <c r="I44" i="1"/>
  <c r="H48" i="1"/>
  <c r="F48" i="1"/>
  <c r="I48" i="1" s="1"/>
  <c r="I39" i="1"/>
  <c r="I38" i="1"/>
  <c r="H37" i="1"/>
  <c r="F37" i="1"/>
  <c r="I37" i="1" s="1"/>
  <c r="H34" i="1"/>
  <c r="F34" i="1"/>
  <c r="H67" i="1"/>
  <c r="F67" i="1"/>
  <c r="F63" i="1"/>
  <c r="H63" i="1" s="1"/>
  <c r="I63" i="1" l="1"/>
  <c r="I43" i="1"/>
  <c r="I124" i="1"/>
  <c r="H124" i="1"/>
  <c r="H101" i="1"/>
  <c r="F101" i="1"/>
  <c r="H100" i="1"/>
  <c r="F100" i="1"/>
  <c r="H86" i="1"/>
  <c r="F86" i="1"/>
  <c r="I86" i="1" s="1"/>
  <c r="F69" i="1"/>
  <c r="H69" i="1" l="1"/>
  <c r="I69" i="1" s="1"/>
  <c r="I100" i="1"/>
  <c r="I55" i="1" l="1"/>
  <c r="I101" i="1"/>
  <c r="H128" i="1"/>
  <c r="F128" i="1"/>
  <c r="H97" i="1"/>
  <c r="F97" i="1"/>
  <c r="F82" i="1"/>
  <c r="H82" i="1" s="1"/>
  <c r="F65" i="1"/>
  <c r="H65" i="1" s="1"/>
  <c r="F64" i="1"/>
  <c r="H64" i="1" s="1"/>
  <c r="H61" i="1"/>
  <c r="F61" i="1"/>
  <c r="H60" i="1"/>
  <c r="F60" i="1"/>
  <c r="I97" i="1" l="1"/>
  <c r="I128" i="1"/>
  <c r="I82" i="1"/>
  <c r="F94" i="1"/>
  <c r="H94" i="1" s="1"/>
  <c r="I94" i="1" l="1"/>
  <c r="H96" i="1"/>
  <c r="F96" i="1"/>
  <c r="I99" i="1"/>
  <c r="F102" i="1"/>
  <c r="H102" i="1" s="1"/>
  <c r="H105" i="1"/>
  <c r="F105" i="1"/>
  <c r="H129" i="1"/>
  <c r="F121" i="1"/>
  <c r="H33" i="1"/>
  <c r="F33" i="1"/>
  <c r="I105" i="1" l="1"/>
  <c r="F120" i="1"/>
  <c r="I122" i="1"/>
  <c r="F24" i="1"/>
  <c r="H24" i="1" s="1"/>
  <c r="F127" i="1"/>
  <c r="H127" i="1" s="1"/>
  <c r="F59" i="1"/>
  <c r="I121" i="1"/>
  <c r="I120" i="1"/>
  <c r="I127" i="1" l="1"/>
  <c r="I132" i="1" l="1"/>
  <c r="I34" i="1"/>
  <c r="I33" i="1"/>
  <c r="I64" i="1"/>
  <c r="I90" i="1" l="1"/>
  <c r="I88" i="1"/>
  <c r="I32" i="1"/>
  <c r="I125" i="1" l="1"/>
  <c r="I96" i="1"/>
  <c r="I126" i="1"/>
  <c r="I129" i="1"/>
  <c r="I89" i="1"/>
  <c r="I65" i="1"/>
  <c r="I74" i="1"/>
  <c r="I67" i="1"/>
  <c r="I59" i="1"/>
  <c r="I56" i="1" l="1"/>
  <c r="I61" i="1"/>
  <c r="I60" i="1"/>
  <c r="I106" i="1"/>
  <c r="I102" i="1"/>
  <c r="I104" i="1"/>
  <c r="I70" i="1" l="1"/>
  <c r="I111" i="1"/>
  <c r="I115" i="1" s="1"/>
  <c r="I109" i="1"/>
  <c r="I110" i="1" s="1"/>
</calcChain>
</file>

<file path=xl/sharedStrings.xml><?xml version="1.0" encoding="utf-8"?>
<sst xmlns="http://schemas.openxmlformats.org/spreadsheetml/2006/main" count="549" uniqueCount="211">
  <si>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</si>
  <si>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</si>
  <si>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</si>
  <si>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</si>
  <si>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</si>
  <si>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</si>
  <si>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</si>
  <si>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</si>
  <si>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</si>
  <si>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</si>
  <si>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</si>
  <si>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</si>
  <si>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</si>
  <si>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</si>
  <si>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</si>
  <si>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</si>
  <si>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</si>
  <si>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</si>
  <si>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</si>
  <si>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</si>
  <si>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</si>
  <si>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</si>
  <si>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</si>
  <si>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</si>
  <si>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</si>
  <si>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</si>
  <si>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</si>
  <si>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</si>
  <si>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</si>
  <si>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</si>
  <si>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</si>
  <si>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</si>
  <si>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</si>
  <si>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</si>
  <si>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</si>
  <si>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</si>
  <si>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</si>
  <si>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</si>
  <si>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</si>
  <si>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</si>
  <si>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</si>
  <si>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</si>
  <si>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</si>
  <si>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</si>
  <si>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</si>
  <si>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</si>
  <si>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</si>
  <si>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</si>
  <si>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</si>
  <si>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</si>
  <si>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</si>
  <si>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</si>
  <si>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</si>
  <si>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</si>
  <si>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</si>
  <si>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</si>
  <si>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</si>
  <si>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</si>
  <si>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</si>
  <si>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</si>
  <si>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</si>
  <si>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</si>
  <si>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</si>
  <si>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</si>
  <si>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</si>
  <si>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</si>
  <si>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</si>
  <si>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</si>
  <si>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</si>
  <si>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</si>
  <si>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</si>
  <si>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</si>
  <si>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</si>
  <si>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</si>
  <si>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</si>
  <si>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</si>
  <si>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</si>
  <si>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</si>
  <si>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</si>
  <si>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</si>
  <si>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</si>
  <si>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</si>
  <si>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</si>
  <si>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</si>
  <si>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</si>
  <si>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</si>
  <si>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</si>
  <si>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</si>
  <si>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</si>
  <si>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</si>
  <si>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</si>
  <si>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</si>
  <si>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</si>
  <si>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</si>
  <si>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</si>
  <si>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</si>
  <si>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</si>
  <si>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</si>
  <si>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</si>
  <si>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</si>
  <si>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</si>
  <si>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</si>
  <si>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</si>
  <si>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</si>
  <si>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</si>
  <si>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</si>
  <si>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</si>
  <si>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</si>
  <si>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</si>
  <si>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</si>
  <si>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</si>
  <si>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</si>
  <si>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</si>
  <si>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</si>
  <si>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</si>
  <si>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</si>
  <si>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</si>
  <si>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</si>
  <si>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</si>
  <si>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</si>
  <si>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</si>
  <si>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</si>
  <si>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</si>
  <si>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</si>
  <si>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</si>
  <si>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</si>
  <si>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</si>
  <si>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</si>
  <si>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</si>
  <si>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</si>
  <si>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</si>
  <si>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</si>
  <si>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</si>
  <si>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</si>
  <si>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</si>
  <si>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</si>
  <si>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</si>
  <si>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</si>
  <si>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</si>
  <si>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</si>
  <si>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</si>
  <si>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мин</t>
  </si>
  <si>
    <t>каналов</t>
  </si>
  <si>
    <t>−</t>
  </si>
  <si>
    <t>ремонт межпанельных швов</t>
  </si>
  <si>
    <t>наличие и герметичность приборов отопления</t>
  </si>
  <si>
    <t>услуга</t>
  </si>
  <si>
    <t>прокладка внутренних трубпроводов водоснабжения и отопления из полипропиленовых труб:диам. 40мм</t>
  </si>
  <si>
    <t>1 коробка</t>
  </si>
  <si>
    <t>демонтаж и монтаж дверей металлических тамбурных</t>
  </si>
  <si>
    <t>ремонт дверей</t>
  </si>
  <si>
    <t>м</t>
  </si>
  <si>
    <t>благоустройство</t>
  </si>
  <si>
    <t>лифт</t>
  </si>
  <si>
    <t>1 квартал</t>
  </si>
  <si>
    <t>1,3,4квартал</t>
  </si>
  <si>
    <t>смена кранов шаровых диам. 15,32мм</t>
  </si>
  <si>
    <t>смена электросчетчиков</t>
  </si>
  <si>
    <t>водоотлив из подвала электрическими насосами</t>
  </si>
  <si>
    <t>обслуживание пожарной сигнализации</t>
  </si>
  <si>
    <t>МОП</t>
  </si>
  <si>
    <t>услуги видеонаблюдения</t>
  </si>
  <si>
    <t>установка насоса</t>
  </si>
  <si>
    <t>укрепление оконных и дверных коробок</t>
  </si>
  <si>
    <t>укладка влаговпитывающих ковриков</t>
  </si>
  <si>
    <t>очистка козырьков от снега</t>
  </si>
  <si>
    <t>смена сгонов у трубопроводов диаметром до 32мм</t>
  </si>
  <si>
    <t>сгон</t>
  </si>
  <si>
    <t>врезка в действующин внутренние сети трубопроводов водоснабжения и отопления диам. 25мм</t>
  </si>
  <si>
    <t>врезка</t>
  </si>
  <si>
    <t>прокладка внутренних трубпроводов водоснабжения и отопления из полипропиленовых труб:диам. 25мм</t>
  </si>
  <si>
    <t>Итого:</t>
  </si>
  <si>
    <t xml:space="preserve">
Отчет о выполнении работ по текущему ремонту общего имущества 
в многоквартирном доме по адресу: г.Щёлково, ул.Комсомольская. дом 24   на 2023 г.
</t>
  </si>
  <si>
    <t>механизированная уборка снега на придомовой территории(JSB )</t>
  </si>
  <si>
    <t>механизированная уборка снега на придомовой территории( МТЗ )</t>
  </si>
  <si>
    <t>простая масляная окраска ранее окрашенных фасадов без подготовки с расчисткой старой краски до 10%(закрашивание надписей)</t>
  </si>
  <si>
    <t>ремонт и окраска дверей (восстановление фурнитуры и остекления)ручки-скобы</t>
  </si>
  <si>
    <t>вазоны Альпина</t>
  </si>
  <si>
    <t>смена фотореле</t>
  </si>
  <si>
    <t>короба пластмассовые шириной до 40мм</t>
  </si>
  <si>
    <t>смена патронов</t>
  </si>
  <si>
    <t>контактор переменного тока на конструкции</t>
  </si>
  <si>
    <t>очистка внутренней поверхности теплообменного аппарата</t>
  </si>
  <si>
    <t>гидравлическое испытание аппарата ,работающего под давлением</t>
  </si>
  <si>
    <t>смена задвижек диаметром 100мм на шаровые краны</t>
  </si>
  <si>
    <t>смена розеток</t>
  </si>
  <si>
    <t>справка о техническом состоянии здания</t>
  </si>
  <si>
    <t>демонтаж светильников</t>
  </si>
  <si>
    <t>монтаж светильников</t>
  </si>
  <si>
    <t>провод групповой осветительный</t>
  </si>
  <si>
    <t>установка почтовых ящиков</t>
  </si>
  <si>
    <t>смена водомеров диаметром 65мм</t>
  </si>
  <si>
    <t>ремонт металлических ограждений мелкий</t>
  </si>
  <si>
    <t>установка шайб диаметром трубопроводов до 100мм</t>
  </si>
  <si>
    <t>ремонт дверных полотен со сменой брусков обвязки вертикальных с числом сопряжений2</t>
  </si>
  <si>
    <t>смена стекол тодщиной 4-6мм армированных</t>
  </si>
  <si>
    <t>установка дверного доводчика</t>
  </si>
  <si>
    <t>облицовка лестничных площадок и маршей керамогранитными плитами</t>
  </si>
  <si>
    <t>гладкая облицовка стен,столбов и т.д с установкой плиток на клее из сухих смесей</t>
  </si>
  <si>
    <t>затирка швов между плитками ранее облицованных поверхностей с применением сухой смеси</t>
  </si>
  <si>
    <t>смена шарового крана смывного бачка</t>
  </si>
  <si>
    <t>регулировка смывного бачка</t>
  </si>
  <si>
    <t>регулировка двери</t>
  </si>
  <si>
    <t>устройство покрытий из керамогранитных плиток размером 30х30см</t>
  </si>
  <si>
    <t>установка раскладок:поливинилхлоридных при внутренней облицовке керамическими плитками</t>
  </si>
  <si>
    <t>установка раскладок:алюминиевых</t>
  </si>
  <si>
    <t>окрашивание водоэмульсионными составами поверхностей потолков, ранее окрашенных водоэмульсионной краской</t>
  </si>
  <si>
    <t>окраска масляными составами ранее окрашенных больших металлических поверхностей(кроме крыш) за 2 раза (портал лифта)</t>
  </si>
  <si>
    <t>окраска масляными составами конвекторов</t>
  </si>
  <si>
    <t>установка хомутов диаметром трубопроводов до 100мм</t>
  </si>
  <si>
    <t>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</si>
</sst>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0" borderId="0" xfId="0" applyNumberFormat="1" applyFont="1"/>
    <xf numFmtId="2" fontId="1" fillId="0" borderId="1" xfId="0" applyNumberFormat="1" applyFont="1" applyBorder="1" applyAlignment="1">
      <alignment horizontal="center"/>
    </xf>
    <xf numFmtId="1" fontId="1" fillId="3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2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8"/>
  <sheetViews>
    <sheetView tabSelected="1" topLeftCell="A125" zoomScaleNormal="100" workbookViewId="0">
      <selection activeCell="K138" sqref="K13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73" t="s">
        <v>98</v>
      </c>
      <c r="J1" s="73"/>
    </row>
    <row r="2" spans="1:12" ht="70.5" customHeight="1" x14ac:dyDescent="0.25">
      <c r="A2" s="68" t="s">
        <v>172</v>
      </c>
      <c r="B2" s="69"/>
      <c r="C2" s="69"/>
      <c r="D2" s="69"/>
      <c r="E2" s="69"/>
      <c r="F2" s="69"/>
      <c r="G2" s="69"/>
      <c r="H2" s="69"/>
      <c r="I2" s="69"/>
      <c r="J2" s="69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74" t="s">
        <v>89</v>
      </c>
      <c r="B4" s="75"/>
      <c r="C4" s="75"/>
      <c r="D4" s="75"/>
      <c r="E4" s="75"/>
      <c r="F4" s="75"/>
      <c r="G4" s="76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125</v>
      </c>
      <c r="E5" s="42" t="s">
        <v>143</v>
      </c>
      <c r="F5" s="42" t="s">
        <v>143</v>
      </c>
      <c r="G5" s="13" t="s">
        <v>115</v>
      </c>
      <c r="H5" s="42" t="s">
        <v>143</v>
      </c>
      <c r="I5" s="42" t="s">
        <v>143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2" t="s">
        <v>143</v>
      </c>
      <c r="F6" s="42" t="s">
        <v>143</v>
      </c>
      <c r="G6" s="13" t="s">
        <v>115</v>
      </c>
      <c r="H6" s="42" t="s">
        <v>143</v>
      </c>
      <c r="I6" s="42" t="s">
        <v>143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39</v>
      </c>
      <c r="E7" s="42" t="s">
        <v>143</v>
      </c>
      <c r="F7" s="42" t="s">
        <v>143</v>
      </c>
      <c r="G7" s="13" t="s">
        <v>30</v>
      </c>
      <c r="H7" s="42" t="s">
        <v>143</v>
      </c>
      <c r="I7" s="42" t="s">
        <v>143</v>
      </c>
      <c r="J7" s="5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143</v>
      </c>
      <c r="F8" s="42" t="s">
        <v>143</v>
      </c>
      <c r="G8" s="13" t="s">
        <v>30</v>
      </c>
      <c r="H8" s="42" t="s">
        <v>143</v>
      </c>
      <c r="I8" s="42" t="s">
        <v>143</v>
      </c>
      <c r="J8" s="5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143</v>
      </c>
      <c r="F9" s="42" t="s">
        <v>143</v>
      </c>
      <c r="G9" s="13" t="s">
        <v>30</v>
      </c>
      <c r="H9" s="42" t="s">
        <v>143</v>
      </c>
      <c r="I9" s="42" t="s">
        <v>143</v>
      </c>
      <c r="J9" s="5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143</v>
      </c>
      <c r="F10" s="42" t="s">
        <v>143</v>
      </c>
      <c r="G10" s="13" t="s">
        <v>30</v>
      </c>
      <c r="H10" s="42" t="s">
        <v>143</v>
      </c>
      <c r="I10" s="42" t="s">
        <v>143</v>
      </c>
      <c r="J10" s="5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143</v>
      </c>
      <c r="F11" s="42" t="s">
        <v>143</v>
      </c>
      <c r="G11" s="13" t="s">
        <v>31</v>
      </c>
      <c r="H11" s="42" t="s">
        <v>143</v>
      </c>
      <c r="I11" s="42" t="s">
        <v>143</v>
      </c>
      <c r="J11" s="5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143</v>
      </c>
      <c r="F12" s="42" t="s">
        <v>143</v>
      </c>
      <c r="G12" s="14" t="s">
        <v>31</v>
      </c>
      <c r="H12" s="42" t="s">
        <v>143</v>
      </c>
      <c r="I12" s="42" t="s">
        <v>143</v>
      </c>
      <c r="J12" s="5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143</v>
      </c>
      <c r="F13" s="42" t="s">
        <v>143</v>
      </c>
      <c r="G13" s="13" t="s">
        <v>30</v>
      </c>
      <c r="H13" s="42" t="s">
        <v>143</v>
      </c>
      <c r="I13" s="42" t="s">
        <v>143</v>
      </c>
      <c r="J13" s="5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143</v>
      </c>
      <c r="F14" s="42" t="s">
        <v>143</v>
      </c>
      <c r="G14" s="13" t="s">
        <v>30</v>
      </c>
      <c r="H14" s="42" t="s">
        <v>143</v>
      </c>
      <c r="I14" s="42" t="s">
        <v>143</v>
      </c>
      <c r="J14" s="5"/>
      <c r="K14" s="2"/>
      <c r="L14" s="2"/>
    </row>
    <row r="15" spans="1:12" ht="18.75" x14ac:dyDescent="0.3">
      <c r="A15" s="74" t="s">
        <v>57</v>
      </c>
      <c r="B15" s="75"/>
      <c r="C15" s="75"/>
      <c r="D15" s="75"/>
      <c r="E15" s="75"/>
      <c r="F15" s="75"/>
      <c r="G15" s="76"/>
      <c r="H15" s="14"/>
      <c r="I15" s="5"/>
      <c r="J15" s="5"/>
      <c r="L15" s="2"/>
    </row>
    <row r="16" spans="1:12" ht="18.75" x14ac:dyDescent="0.3">
      <c r="A16" s="6" t="s">
        <v>19</v>
      </c>
      <c r="B16" s="5"/>
      <c r="C16" s="4"/>
      <c r="D16" s="4" t="s">
        <v>97</v>
      </c>
      <c r="E16" s="42" t="s">
        <v>143</v>
      </c>
      <c r="F16" s="42" t="s">
        <v>143</v>
      </c>
      <c r="G16" s="14" t="s">
        <v>55</v>
      </c>
      <c r="H16" s="42" t="s">
        <v>143</v>
      </c>
      <c r="I16" s="42" t="s">
        <v>143</v>
      </c>
      <c r="J16" s="5"/>
      <c r="L16" s="2"/>
    </row>
    <row r="17" spans="1:12" ht="18.75" x14ac:dyDescent="0.3">
      <c r="A17" s="6" t="s">
        <v>13</v>
      </c>
      <c r="B17" s="5"/>
      <c r="C17" s="4"/>
      <c r="D17" s="4" t="s">
        <v>42</v>
      </c>
      <c r="E17" s="42" t="s">
        <v>143</v>
      </c>
      <c r="F17" s="42" t="s">
        <v>143</v>
      </c>
      <c r="G17" s="14" t="s">
        <v>54</v>
      </c>
      <c r="H17" s="42" t="s">
        <v>143</v>
      </c>
      <c r="I17" s="42" t="s">
        <v>143</v>
      </c>
      <c r="J17" s="5"/>
      <c r="L17" s="2"/>
    </row>
    <row r="18" spans="1:12" ht="18.75" x14ac:dyDescent="0.3">
      <c r="A18" s="6" t="s">
        <v>9</v>
      </c>
      <c r="B18" s="5"/>
      <c r="C18" s="4"/>
      <c r="D18" s="4" t="s">
        <v>35</v>
      </c>
      <c r="E18" s="42" t="s">
        <v>143</v>
      </c>
      <c r="F18" s="42" t="s">
        <v>143</v>
      </c>
      <c r="G18" s="14" t="s">
        <v>54</v>
      </c>
      <c r="H18" s="42" t="s">
        <v>143</v>
      </c>
      <c r="I18" s="42" t="s">
        <v>143</v>
      </c>
      <c r="J18" s="5"/>
      <c r="K18" s="2"/>
      <c r="L18" s="2"/>
    </row>
    <row r="19" spans="1:12" ht="18.75" x14ac:dyDescent="0.3">
      <c r="A19" s="6" t="s">
        <v>10</v>
      </c>
      <c r="B19" s="5"/>
      <c r="C19" s="4"/>
      <c r="D19" s="4" t="s">
        <v>33</v>
      </c>
      <c r="E19" s="42" t="s">
        <v>143</v>
      </c>
      <c r="F19" s="42" t="s">
        <v>143</v>
      </c>
      <c r="G19" s="14" t="s">
        <v>54</v>
      </c>
      <c r="H19" s="42" t="s">
        <v>143</v>
      </c>
      <c r="I19" s="42" t="s">
        <v>143</v>
      </c>
      <c r="J19" s="5"/>
      <c r="K19" s="2"/>
      <c r="L19" s="2"/>
    </row>
    <row r="20" spans="1:12" ht="18.75" x14ac:dyDescent="0.3">
      <c r="A20" s="6" t="s">
        <v>11</v>
      </c>
      <c r="B20" s="5"/>
      <c r="C20" s="4"/>
      <c r="D20" s="4" t="s">
        <v>40</v>
      </c>
      <c r="E20" s="42" t="s">
        <v>143</v>
      </c>
      <c r="F20" s="42" t="s">
        <v>143</v>
      </c>
      <c r="G20" s="14" t="s">
        <v>54</v>
      </c>
      <c r="H20" s="42" t="s">
        <v>143</v>
      </c>
      <c r="I20" s="42" t="s">
        <v>143</v>
      </c>
      <c r="J20" s="5"/>
      <c r="K20" s="2"/>
      <c r="L20" s="2"/>
    </row>
    <row r="21" spans="1:12" ht="18.75" x14ac:dyDescent="0.3">
      <c r="A21" s="6" t="s">
        <v>8</v>
      </c>
      <c r="B21" s="5"/>
      <c r="C21" s="4"/>
      <c r="D21" s="4" t="s">
        <v>32</v>
      </c>
      <c r="E21" s="42" t="s">
        <v>143</v>
      </c>
      <c r="F21" s="42" t="s">
        <v>143</v>
      </c>
      <c r="G21" s="13" t="s">
        <v>30</v>
      </c>
      <c r="H21" s="42" t="s">
        <v>143</v>
      </c>
      <c r="I21" s="42" t="s">
        <v>143</v>
      </c>
      <c r="J21" s="5"/>
      <c r="K21" s="2"/>
      <c r="L21" s="2"/>
    </row>
    <row r="22" spans="1:12" ht="24.75" customHeight="1" x14ac:dyDescent="0.3">
      <c r="A22" s="6" t="s">
        <v>12</v>
      </c>
      <c r="B22" s="5"/>
      <c r="C22" s="4"/>
      <c r="D22" s="15" t="s">
        <v>41</v>
      </c>
      <c r="E22" s="42" t="s">
        <v>143</v>
      </c>
      <c r="F22" s="42" t="s">
        <v>143</v>
      </c>
      <c r="G22" s="14" t="s">
        <v>54</v>
      </c>
      <c r="H22" s="42" t="s">
        <v>143</v>
      </c>
      <c r="I22" s="42" t="s">
        <v>143</v>
      </c>
      <c r="J22" s="5"/>
      <c r="K22" s="2"/>
      <c r="L22" s="2"/>
    </row>
    <row r="23" spans="1:12" ht="18.75" x14ac:dyDescent="0.3">
      <c r="A23" s="6" t="s">
        <v>56</v>
      </c>
      <c r="B23" s="5"/>
      <c r="C23" s="4"/>
      <c r="D23" s="15" t="s">
        <v>144</v>
      </c>
      <c r="E23" s="42" t="s">
        <v>143</v>
      </c>
      <c r="F23" s="42" t="s">
        <v>143</v>
      </c>
      <c r="G23" s="14" t="s">
        <v>30</v>
      </c>
      <c r="H23" s="42" t="s">
        <v>143</v>
      </c>
      <c r="I23" s="42" t="s">
        <v>143</v>
      </c>
      <c r="J23" s="13"/>
      <c r="L23" s="2"/>
    </row>
    <row r="24" spans="1:12" ht="48" x14ac:dyDescent="0.3">
      <c r="A24" s="6"/>
      <c r="B24" s="5"/>
      <c r="C24" s="4"/>
      <c r="D24" s="15" t="s">
        <v>175</v>
      </c>
      <c r="E24" s="42"/>
      <c r="F24" s="42">
        <f>3</f>
        <v>3</v>
      </c>
      <c r="G24" s="14" t="s">
        <v>115</v>
      </c>
      <c r="H24" s="45">
        <f>446/F24</f>
        <v>148.66666666666666</v>
      </c>
      <c r="I24" s="58">
        <f>F24*H24</f>
        <v>446</v>
      </c>
      <c r="J24" s="13" t="s">
        <v>123</v>
      </c>
      <c r="L24" s="2"/>
    </row>
    <row r="25" spans="1:12" ht="32.25" x14ac:dyDescent="0.3">
      <c r="A25" s="6" t="s">
        <v>58</v>
      </c>
      <c r="B25" s="5"/>
      <c r="C25" s="4"/>
      <c r="D25" s="15" t="s">
        <v>96</v>
      </c>
      <c r="E25" s="42"/>
      <c r="F25" s="42"/>
      <c r="G25" s="14" t="s">
        <v>54</v>
      </c>
      <c r="H25" s="42" t="s">
        <v>143</v>
      </c>
      <c r="I25" s="42" t="s">
        <v>143</v>
      </c>
      <c r="J25" s="5"/>
      <c r="L25" s="2"/>
    </row>
    <row r="26" spans="1:12" ht="32.25" x14ac:dyDescent="0.3">
      <c r="A26" s="6" t="s">
        <v>14</v>
      </c>
      <c r="B26" s="5"/>
      <c r="C26" s="4"/>
      <c r="D26" s="15" t="s">
        <v>95</v>
      </c>
      <c r="E26" s="42"/>
      <c r="F26" s="42"/>
      <c r="G26" s="14" t="s">
        <v>55</v>
      </c>
      <c r="H26" s="42" t="s">
        <v>143</v>
      </c>
      <c r="I26" s="42" t="s">
        <v>143</v>
      </c>
      <c r="J26" s="5"/>
      <c r="L26" s="2"/>
    </row>
    <row r="27" spans="1:12" ht="18.75" x14ac:dyDescent="0.3">
      <c r="A27" s="6" t="s">
        <v>15</v>
      </c>
      <c r="B27" s="5"/>
      <c r="C27" s="4"/>
      <c r="D27" s="4" t="s">
        <v>43</v>
      </c>
      <c r="E27" s="42"/>
      <c r="F27" s="42"/>
      <c r="G27" s="14" t="s">
        <v>55</v>
      </c>
      <c r="H27" s="42" t="s">
        <v>143</v>
      </c>
      <c r="I27" s="42" t="s">
        <v>143</v>
      </c>
      <c r="J27" s="5"/>
      <c r="L27" s="2"/>
    </row>
    <row r="28" spans="1:12" ht="18.75" x14ac:dyDescent="0.3">
      <c r="A28" s="6" t="s">
        <v>16</v>
      </c>
      <c r="B28" s="5"/>
      <c r="C28" s="4"/>
      <c r="D28" s="4" t="s">
        <v>44</v>
      </c>
      <c r="E28" s="42"/>
      <c r="F28" s="42"/>
      <c r="G28" s="14" t="s">
        <v>54</v>
      </c>
      <c r="H28" s="42" t="s">
        <v>143</v>
      </c>
      <c r="I28" s="42" t="s">
        <v>143</v>
      </c>
      <c r="J28" s="5"/>
      <c r="L28" s="2"/>
    </row>
    <row r="29" spans="1:12" ht="18.75" x14ac:dyDescent="0.3">
      <c r="A29" s="6"/>
      <c r="B29" s="5"/>
      <c r="C29" s="4"/>
      <c r="D29" s="4" t="s">
        <v>165</v>
      </c>
      <c r="E29" s="42"/>
      <c r="F29" s="42"/>
      <c r="G29" s="14" t="s">
        <v>115</v>
      </c>
      <c r="H29" s="42"/>
      <c r="I29" s="42"/>
      <c r="J29" s="13"/>
      <c r="L29" s="2"/>
    </row>
    <row r="30" spans="1:12" ht="18.75" x14ac:dyDescent="0.3">
      <c r="A30" s="6" t="s">
        <v>17</v>
      </c>
      <c r="B30" s="5"/>
      <c r="C30" s="4"/>
      <c r="D30" s="4" t="s">
        <v>45</v>
      </c>
      <c r="E30" s="42" t="s">
        <v>143</v>
      </c>
      <c r="F30" s="42" t="s">
        <v>143</v>
      </c>
      <c r="G30" s="13" t="s">
        <v>30</v>
      </c>
      <c r="H30" s="42" t="s">
        <v>143</v>
      </c>
      <c r="I30" s="42" t="s">
        <v>143</v>
      </c>
      <c r="J30" s="5"/>
      <c r="L30" s="2"/>
    </row>
    <row r="31" spans="1:12" ht="18.75" x14ac:dyDescent="0.3">
      <c r="A31" s="6" t="s">
        <v>18</v>
      </c>
      <c r="B31" s="5"/>
      <c r="C31" s="4"/>
      <c r="D31" s="4" t="s">
        <v>46</v>
      </c>
      <c r="E31" s="42" t="s">
        <v>143</v>
      </c>
      <c r="F31" s="42" t="s">
        <v>143</v>
      </c>
      <c r="G31" s="14" t="s">
        <v>55</v>
      </c>
      <c r="H31" s="42" t="s">
        <v>143</v>
      </c>
      <c r="I31" s="42" t="s">
        <v>143</v>
      </c>
      <c r="J31" s="5"/>
      <c r="L31" s="2"/>
    </row>
    <row r="32" spans="1:12" ht="24" customHeight="1" x14ac:dyDescent="0.3">
      <c r="A32" s="74" t="s">
        <v>87</v>
      </c>
      <c r="B32" s="75"/>
      <c r="C32" s="75"/>
      <c r="D32" s="75"/>
      <c r="E32" s="75"/>
      <c r="F32" s="75"/>
      <c r="G32" s="76"/>
      <c r="H32" s="14"/>
      <c r="I32" s="51">
        <f>SUM(I21:I31)</f>
        <v>446</v>
      </c>
      <c r="J32" s="5"/>
      <c r="L32" s="2"/>
    </row>
    <row r="33" spans="1:12" ht="32.25" customHeight="1" x14ac:dyDescent="0.3">
      <c r="A33" s="6" t="s">
        <v>50</v>
      </c>
      <c r="B33" s="5"/>
      <c r="C33" s="4"/>
      <c r="D33" s="15" t="s">
        <v>176</v>
      </c>
      <c r="E33" s="46"/>
      <c r="F33" s="46">
        <f>1</f>
        <v>1</v>
      </c>
      <c r="G33" s="47" t="s">
        <v>55</v>
      </c>
      <c r="H33" s="47">
        <f>348.4/F33</f>
        <v>348.4</v>
      </c>
      <c r="I33" s="47">
        <f>F33*H33</f>
        <v>348.4</v>
      </c>
      <c r="J33" s="13" t="s">
        <v>154</v>
      </c>
      <c r="L33" s="2"/>
    </row>
    <row r="34" spans="1:12" ht="32.25" customHeight="1" x14ac:dyDescent="0.3">
      <c r="A34" s="6"/>
      <c r="B34" s="5"/>
      <c r="C34" s="4"/>
      <c r="D34" s="15" t="s">
        <v>163</v>
      </c>
      <c r="E34" s="48"/>
      <c r="F34" s="49">
        <f>8</f>
        <v>8</v>
      </c>
      <c r="G34" s="47" t="s">
        <v>148</v>
      </c>
      <c r="H34" s="49">
        <f>1731.6/F34</f>
        <v>216.45</v>
      </c>
      <c r="I34" s="61">
        <f>F34*H34</f>
        <v>1731.6</v>
      </c>
      <c r="J34" s="13" t="s">
        <v>120</v>
      </c>
      <c r="L34" s="2"/>
    </row>
    <row r="35" spans="1:12" ht="32.25" customHeight="1" x14ac:dyDescent="0.3">
      <c r="A35" s="6"/>
      <c r="B35" s="5"/>
      <c r="C35" s="4"/>
      <c r="D35" s="15" t="s">
        <v>149</v>
      </c>
      <c r="E35" s="42" t="s">
        <v>143</v>
      </c>
      <c r="F35" s="42" t="s">
        <v>143</v>
      </c>
      <c r="G35" s="47" t="s">
        <v>31</v>
      </c>
      <c r="H35" s="42" t="s">
        <v>143</v>
      </c>
      <c r="I35" s="42" t="s">
        <v>143</v>
      </c>
      <c r="J35" s="13"/>
      <c r="L35" s="2"/>
    </row>
    <row r="36" spans="1:12" ht="32.25" customHeight="1" x14ac:dyDescent="0.3">
      <c r="A36" s="6"/>
      <c r="B36" s="5"/>
      <c r="C36" s="4"/>
      <c r="D36" s="15" t="s">
        <v>150</v>
      </c>
      <c r="E36" s="42" t="s">
        <v>143</v>
      </c>
      <c r="F36" s="42" t="s">
        <v>143</v>
      </c>
      <c r="G36" s="47" t="s">
        <v>31</v>
      </c>
      <c r="H36" s="42" t="s">
        <v>143</v>
      </c>
      <c r="I36" s="42" t="s">
        <v>143</v>
      </c>
      <c r="J36" s="13"/>
      <c r="L36" s="2"/>
    </row>
    <row r="37" spans="1:12" ht="32.25" customHeight="1" x14ac:dyDescent="0.3">
      <c r="A37" s="6"/>
      <c r="B37" s="5"/>
      <c r="C37" s="4"/>
      <c r="D37" s="15" t="s">
        <v>194</v>
      </c>
      <c r="E37" s="42"/>
      <c r="F37" s="42">
        <f>8</f>
        <v>8</v>
      </c>
      <c r="G37" s="47" t="s">
        <v>31</v>
      </c>
      <c r="H37" s="42">
        <f>25932.4/F37</f>
        <v>3241.55</v>
      </c>
      <c r="I37" s="58">
        <f>F37*H37</f>
        <v>25932.400000000001</v>
      </c>
      <c r="J37" s="13" t="s">
        <v>120</v>
      </c>
      <c r="L37" s="2"/>
    </row>
    <row r="38" spans="1:12" ht="32.25" customHeight="1" x14ac:dyDescent="0.3">
      <c r="A38" s="6"/>
      <c r="B38" s="5"/>
      <c r="C38" s="4"/>
      <c r="D38" s="15" t="s">
        <v>195</v>
      </c>
      <c r="E38" s="42"/>
      <c r="F38" s="42">
        <f>1+0.944</f>
        <v>1.944</v>
      </c>
      <c r="G38" s="47" t="s">
        <v>115</v>
      </c>
      <c r="H38" s="45">
        <f>(2305+2205.4)/F38</f>
        <v>2320.1646090534978</v>
      </c>
      <c r="I38" s="58">
        <f>F38*H38</f>
        <v>4510.3999999999996</v>
      </c>
      <c r="J38" s="13" t="s">
        <v>120</v>
      </c>
      <c r="L38" s="2"/>
    </row>
    <row r="39" spans="1:12" ht="32.25" customHeight="1" x14ac:dyDescent="0.3">
      <c r="A39" s="6"/>
      <c r="B39" s="5"/>
      <c r="C39" s="4"/>
      <c r="D39" s="15" t="s">
        <v>196</v>
      </c>
      <c r="E39" s="42"/>
      <c r="F39" s="42">
        <f>1+2</f>
        <v>3</v>
      </c>
      <c r="G39" s="47" t="s">
        <v>31</v>
      </c>
      <c r="H39" s="45">
        <f>(3550+7184.8)/F39</f>
        <v>3578.2666666666664</v>
      </c>
      <c r="I39" s="58">
        <f>F39*H39</f>
        <v>10734.8</v>
      </c>
      <c r="J39" s="13" t="s">
        <v>120</v>
      </c>
      <c r="L39" s="2"/>
    </row>
    <row r="40" spans="1:12" ht="32.25" customHeight="1" x14ac:dyDescent="0.3">
      <c r="A40" s="6"/>
      <c r="B40" s="5"/>
      <c r="C40" s="4"/>
      <c r="D40" s="15" t="s">
        <v>202</v>
      </c>
      <c r="E40" s="42"/>
      <c r="F40" s="42">
        <v>5</v>
      </c>
      <c r="G40" s="47" t="s">
        <v>31</v>
      </c>
      <c r="H40" s="42">
        <f>2700/F40</f>
        <v>540</v>
      </c>
      <c r="I40" s="58">
        <f>F40*H40</f>
        <v>2700</v>
      </c>
      <c r="J40" s="13" t="s">
        <v>123</v>
      </c>
      <c r="L40" s="2"/>
    </row>
    <row r="41" spans="1:12" ht="32.25" x14ac:dyDescent="0.3">
      <c r="A41" s="6" t="s">
        <v>51</v>
      </c>
      <c r="B41" s="5"/>
      <c r="C41" s="4"/>
      <c r="D41" s="15" t="s">
        <v>101</v>
      </c>
      <c r="E41" s="42" t="s">
        <v>143</v>
      </c>
      <c r="F41" s="42" t="s">
        <v>143</v>
      </c>
      <c r="G41" s="47" t="s">
        <v>55</v>
      </c>
      <c r="H41" s="42" t="s">
        <v>143</v>
      </c>
      <c r="I41" s="42" t="s">
        <v>143</v>
      </c>
      <c r="J41" s="13"/>
      <c r="L41" s="2"/>
    </row>
    <row r="42" spans="1:12" ht="32.25" x14ac:dyDescent="0.3">
      <c r="A42" s="6" t="s">
        <v>60</v>
      </c>
      <c r="B42" s="8"/>
      <c r="C42" s="4"/>
      <c r="D42" s="15" t="s">
        <v>47</v>
      </c>
      <c r="E42" s="42" t="s">
        <v>143</v>
      </c>
      <c r="F42" s="42" t="s">
        <v>143</v>
      </c>
      <c r="G42" s="14" t="s">
        <v>54</v>
      </c>
      <c r="H42" s="42" t="s">
        <v>143</v>
      </c>
      <c r="I42" s="42" t="s">
        <v>143</v>
      </c>
      <c r="J42" s="5"/>
      <c r="L42" s="2"/>
    </row>
    <row r="43" spans="1:12" ht="32.25" x14ac:dyDescent="0.3">
      <c r="A43" s="6"/>
      <c r="B43" s="8"/>
      <c r="C43" s="4"/>
      <c r="D43" s="15" t="s">
        <v>198</v>
      </c>
      <c r="E43" s="42"/>
      <c r="F43" s="42">
        <f>65.4+68.19</f>
        <v>133.59</v>
      </c>
      <c r="G43" s="14" t="s">
        <v>115</v>
      </c>
      <c r="H43" s="45">
        <f>(308420.4+341363.2)/F43</f>
        <v>4864.01377348604</v>
      </c>
      <c r="I43" s="58">
        <f>F43*H43</f>
        <v>649783.60000000009</v>
      </c>
      <c r="J43" s="13" t="s">
        <v>123</v>
      </c>
      <c r="L43" s="2"/>
    </row>
    <row r="44" spans="1:12" ht="48" x14ac:dyDescent="0.3">
      <c r="A44" s="6"/>
      <c r="B44" s="8"/>
      <c r="C44" s="4"/>
      <c r="D44" s="15" t="s">
        <v>199</v>
      </c>
      <c r="E44" s="42"/>
      <c r="F44" s="42">
        <f>25.5+90.04</f>
        <v>115.54</v>
      </c>
      <c r="G44" s="13" t="s">
        <v>115</v>
      </c>
      <c r="H44" s="45">
        <f>(10969.4+43223.8)/F44</f>
        <v>469.0427557555825</v>
      </c>
      <c r="I44" s="58">
        <f>F44*H44</f>
        <v>54193.200000000004</v>
      </c>
      <c r="J44" s="13" t="s">
        <v>123</v>
      </c>
      <c r="L44" s="2"/>
    </row>
    <row r="45" spans="1:12" ht="48" x14ac:dyDescent="0.3">
      <c r="A45" s="6"/>
      <c r="B45" s="8"/>
      <c r="C45" s="4"/>
      <c r="D45" s="15" t="s">
        <v>204</v>
      </c>
      <c r="E45" s="42"/>
      <c r="F45" s="42">
        <v>108</v>
      </c>
      <c r="G45" s="13" t="s">
        <v>151</v>
      </c>
      <c r="H45" s="45">
        <f>15793.6/F45</f>
        <v>146.23703703703703</v>
      </c>
      <c r="I45" s="58">
        <f t="shared" ref="I45:I46" si="0">F45*H45</f>
        <v>15793.599999999999</v>
      </c>
      <c r="J45" s="13" t="s">
        <v>123</v>
      </c>
      <c r="L45" s="2"/>
    </row>
    <row r="46" spans="1:12" ht="18.75" x14ac:dyDescent="0.3">
      <c r="A46" s="6"/>
      <c r="B46" s="8"/>
      <c r="C46" s="4"/>
      <c r="D46" s="15" t="s">
        <v>205</v>
      </c>
      <c r="E46" s="42"/>
      <c r="F46" s="42">
        <v>24</v>
      </c>
      <c r="G46" s="13" t="s">
        <v>151</v>
      </c>
      <c r="H46" s="45">
        <f>11265/F46</f>
        <v>469.375</v>
      </c>
      <c r="I46" s="58">
        <f t="shared" si="0"/>
        <v>11265</v>
      </c>
      <c r="J46" s="13" t="s">
        <v>123</v>
      </c>
      <c r="L46" s="2"/>
    </row>
    <row r="47" spans="1:12" ht="18.75" x14ac:dyDescent="0.3">
      <c r="A47" s="6" t="s">
        <v>62</v>
      </c>
      <c r="B47" s="5"/>
      <c r="C47" s="4"/>
      <c r="D47" s="15" t="s">
        <v>52</v>
      </c>
      <c r="E47" s="42" t="s">
        <v>143</v>
      </c>
      <c r="F47" s="42"/>
      <c r="G47" s="14" t="s">
        <v>54</v>
      </c>
      <c r="H47" s="42"/>
      <c r="I47" s="42"/>
      <c r="J47" s="5"/>
      <c r="L47" s="2"/>
    </row>
    <row r="48" spans="1:12" ht="32.25" x14ac:dyDescent="0.3">
      <c r="A48" s="6"/>
      <c r="B48" s="5"/>
      <c r="C48" s="4"/>
      <c r="D48" s="15" t="s">
        <v>197</v>
      </c>
      <c r="E48" s="42"/>
      <c r="F48" s="42">
        <f>25.5</f>
        <v>25.5</v>
      </c>
      <c r="G48" s="14" t="s">
        <v>115</v>
      </c>
      <c r="H48" s="45">
        <f>137864.2/F48</f>
        <v>5406.439215686275</v>
      </c>
      <c r="I48" s="58">
        <f>F48*H48</f>
        <v>137864.20000000001</v>
      </c>
      <c r="J48" s="13" t="s">
        <v>123</v>
      </c>
      <c r="L48" s="2"/>
    </row>
    <row r="49" spans="1:12" ht="32.25" x14ac:dyDescent="0.3">
      <c r="A49" s="6"/>
      <c r="B49" s="5"/>
      <c r="C49" s="4"/>
      <c r="D49" s="15" t="s">
        <v>203</v>
      </c>
      <c r="E49" s="42"/>
      <c r="F49" s="42">
        <f>22.1</f>
        <v>22.1</v>
      </c>
      <c r="G49" s="14" t="s">
        <v>115</v>
      </c>
      <c r="H49" s="45">
        <f>76559.8/F49</f>
        <v>3464.2443438914024</v>
      </c>
      <c r="I49" s="58">
        <f>F49*H49</f>
        <v>76559.8</v>
      </c>
      <c r="J49" s="13" t="s">
        <v>123</v>
      </c>
      <c r="L49" s="2"/>
    </row>
    <row r="50" spans="1:12" ht="32.25" x14ac:dyDescent="0.3">
      <c r="A50" s="6" t="s">
        <v>63</v>
      </c>
      <c r="B50" s="5"/>
      <c r="C50" s="4"/>
      <c r="D50" s="15" t="s">
        <v>65</v>
      </c>
      <c r="E50" s="42" t="s">
        <v>143</v>
      </c>
      <c r="F50" s="42" t="s">
        <v>143</v>
      </c>
      <c r="G50" s="13" t="s">
        <v>30</v>
      </c>
      <c r="H50" s="42" t="s">
        <v>143</v>
      </c>
      <c r="I50" s="42" t="s">
        <v>143</v>
      </c>
      <c r="J50" s="5"/>
      <c r="L50" s="2"/>
    </row>
    <row r="51" spans="1:12" ht="18.75" x14ac:dyDescent="0.3">
      <c r="A51" s="6" t="s">
        <v>59</v>
      </c>
      <c r="B51" s="8"/>
      <c r="C51" s="4"/>
      <c r="D51" s="4" t="s">
        <v>48</v>
      </c>
      <c r="E51" s="42" t="s">
        <v>143</v>
      </c>
      <c r="F51" s="42" t="s">
        <v>143</v>
      </c>
      <c r="G51" s="14" t="s">
        <v>54</v>
      </c>
      <c r="H51" s="42" t="s">
        <v>143</v>
      </c>
      <c r="I51" s="42" t="s">
        <v>143</v>
      </c>
      <c r="J51" s="5"/>
      <c r="L51" s="2"/>
    </row>
    <row r="52" spans="1:12" ht="48" x14ac:dyDescent="0.3">
      <c r="A52" s="6"/>
      <c r="B52" s="8"/>
      <c r="C52" s="4"/>
      <c r="D52" s="15" t="s">
        <v>206</v>
      </c>
      <c r="E52" s="42"/>
      <c r="F52" s="42">
        <f>44.04</f>
        <v>44.04</v>
      </c>
      <c r="G52" s="14" t="s">
        <v>115</v>
      </c>
      <c r="H52" s="45">
        <f>20206/F52</f>
        <v>458.81017257039059</v>
      </c>
      <c r="I52" s="58">
        <f>F52*H52</f>
        <v>20206</v>
      </c>
      <c r="J52" s="13" t="s">
        <v>123</v>
      </c>
      <c r="L52" s="2"/>
    </row>
    <row r="53" spans="1:12" ht="24" customHeight="1" x14ac:dyDescent="0.3">
      <c r="A53" s="6" t="s">
        <v>61</v>
      </c>
      <c r="B53" s="8"/>
      <c r="C53" s="4"/>
      <c r="D53" s="4" t="s">
        <v>49</v>
      </c>
      <c r="E53" s="42" t="s">
        <v>143</v>
      </c>
      <c r="F53" s="42" t="s">
        <v>143</v>
      </c>
      <c r="G53" s="14" t="s">
        <v>54</v>
      </c>
      <c r="H53" s="42" t="s">
        <v>143</v>
      </c>
      <c r="I53" s="42" t="s">
        <v>143</v>
      </c>
      <c r="J53" s="5"/>
      <c r="L53" s="2"/>
    </row>
    <row r="54" spans="1:12" ht="24" customHeight="1" x14ac:dyDescent="0.3">
      <c r="A54" s="6" t="s">
        <v>66</v>
      </c>
      <c r="B54" s="5"/>
      <c r="C54" s="4"/>
      <c r="D54" s="4" t="s">
        <v>94</v>
      </c>
      <c r="E54" s="42" t="s">
        <v>143</v>
      </c>
      <c r="F54" s="42" t="s">
        <v>143</v>
      </c>
      <c r="G54" s="14" t="s">
        <v>55</v>
      </c>
      <c r="H54" s="42" t="s">
        <v>143</v>
      </c>
      <c r="I54" s="42" t="s">
        <v>143</v>
      </c>
      <c r="J54" s="5"/>
      <c r="L54" s="2"/>
    </row>
    <row r="55" spans="1:12" ht="18.75" x14ac:dyDescent="0.3">
      <c r="A55" s="6"/>
      <c r="B55" s="5"/>
      <c r="C55" s="4"/>
      <c r="D55" s="4" t="s">
        <v>190</v>
      </c>
      <c r="E55" s="42" t="s">
        <v>143</v>
      </c>
      <c r="F55" s="42">
        <f>10+11</f>
        <v>21</v>
      </c>
      <c r="G55" s="14" t="s">
        <v>55</v>
      </c>
      <c r="H55" s="45">
        <f>(19621.2+22263)/F55</f>
        <v>1994.485714285714</v>
      </c>
      <c r="I55" s="58">
        <f>F55*H55</f>
        <v>41884.199999999997</v>
      </c>
      <c r="J55" s="13" t="s">
        <v>123</v>
      </c>
      <c r="L55" s="2"/>
    </row>
    <row r="56" spans="1:12" ht="18.75" x14ac:dyDescent="0.3">
      <c r="A56" s="74" t="s">
        <v>68</v>
      </c>
      <c r="B56" s="75"/>
      <c r="C56" s="75"/>
      <c r="D56" s="75"/>
      <c r="E56" s="75"/>
      <c r="F56" s="75"/>
      <c r="G56" s="76"/>
      <c r="H56" s="18"/>
      <c r="I56" s="51">
        <f>SUM(I33:I55)</f>
        <v>1053507.2</v>
      </c>
      <c r="J56" s="5"/>
      <c r="L56" s="2"/>
    </row>
    <row r="57" spans="1:12" ht="37.5" x14ac:dyDescent="0.25">
      <c r="A57" s="9" t="s">
        <v>29</v>
      </c>
      <c r="B57" s="8"/>
      <c r="C57" s="4"/>
      <c r="D57" s="15" t="s">
        <v>145</v>
      </c>
      <c r="E57" s="42" t="s">
        <v>143</v>
      </c>
      <c r="F57" s="42" t="s">
        <v>143</v>
      </c>
      <c r="G57" s="13" t="s">
        <v>55</v>
      </c>
      <c r="H57" s="42" t="s">
        <v>143</v>
      </c>
      <c r="I57" s="42" t="s">
        <v>143</v>
      </c>
      <c r="J57" s="13"/>
      <c r="L57" s="2"/>
    </row>
    <row r="58" spans="1:12" ht="18.75" x14ac:dyDescent="0.25">
      <c r="A58" s="9"/>
      <c r="B58" s="8"/>
      <c r="C58" s="4"/>
      <c r="D58" s="15" t="s">
        <v>208</v>
      </c>
      <c r="E58" s="42"/>
      <c r="F58" s="42">
        <f>9.17</f>
        <v>9.17</v>
      </c>
      <c r="G58" s="13" t="s">
        <v>115</v>
      </c>
      <c r="H58" s="45">
        <f>6001.6/F58</f>
        <v>654.48200654307527</v>
      </c>
      <c r="I58" s="58">
        <f>F58*H58</f>
        <v>6001.6</v>
      </c>
      <c r="J58" s="13" t="s">
        <v>123</v>
      </c>
      <c r="L58" s="2"/>
    </row>
    <row r="59" spans="1:12" ht="46.5" customHeight="1" x14ac:dyDescent="0.25">
      <c r="A59" s="9" t="s">
        <v>93</v>
      </c>
      <c r="B59" s="8"/>
      <c r="C59" s="4"/>
      <c r="D59" s="43" t="s">
        <v>128</v>
      </c>
      <c r="E59" s="32"/>
      <c r="F59" s="13">
        <f>1443</f>
        <v>1443</v>
      </c>
      <c r="G59" s="13" t="s">
        <v>115</v>
      </c>
      <c r="H59" s="33">
        <f>(6076.4+6076.4+6076.4+6214.2+6214.2+6214.2+6381.6+6381.6+6381.6+6581.8+6581.8+6581.8)/F59</f>
        <v>52.5031185031185</v>
      </c>
      <c r="I59" s="33">
        <f t="shared" ref="I59:I67" si="1">F59*H59</f>
        <v>75762</v>
      </c>
      <c r="J59" s="13" t="s">
        <v>118</v>
      </c>
      <c r="L59" s="2"/>
    </row>
    <row r="60" spans="1:12" ht="46.5" customHeight="1" x14ac:dyDescent="0.25">
      <c r="A60" s="9"/>
      <c r="B60" s="8"/>
      <c r="C60" s="4"/>
      <c r="D60" s="15" t="s">
        <v>113</v>
      </c>
      <c r="E60" s="32"/>
      <c r="F60" s="13">
        <f>2332</f>
        <v>2332</v>
      </c>
      <c r="G60" s="13" t="s">
        <v>30</v>
      </c>
      <c r="H60" s="33">
        <f>194805.4/F60</f>
        <v>83.535763293310467</v>
      </c>
      <c r="I60" s="33">
        <f t="shared" si="1"/>
        <v>194805.4</v>
      </c>
      <c r="J60" s="13" t="s">
        <v>120</v>
      </c>
      <c r="L60" s="2"/>
    </row>
    <row r="61" spans="1:12" ht="46.5" customHeight="1" x14ac:dyDescent="0.25">
      <c r="A61" s="9"/>
      <c r="B61" s="8"/>
      <c r="C61" s="4"/>
      <c r="D61" s="15" t="s">
        <v>114</v>
      </c>
      <c r="E61" s="42"/>
      <c r="F61" s="42">
        <f>119</f>
        <v>119</v>
      </c>
      <c r="G61" s="13" t="s">
        <v>30</v>
      </c>
      <c r="H61" s="45">
        <f>10053.6/F61</f>
        <v>84.484033613445376</v>
      </c>
      <c r="I61" s="45">
        <f t="shared" si="1"/>
        <v>10053.6</v>
      </c>
      <c r="J61" s="13" t="s">
        <v>120</v>
      </c>
      <c r="L61" s="2"/>
    </row>
    <row r="62" spans="1:12" ht="46.5" customHeight="1" x14ac:dyDescent="0.25">
      <c r="A62" s="9"/>
      <c r="B62" s="8"/>
      <c r="C62" s="4"/>
      <c r="D62" s="15" t="s">
        <v>209</v>
      </c>
      <c r="E62" s="42"/>
      <c r="F62" s="42">
        <f>2</f>
        <v>2</v>
      </c>
      <c r="G62" s="13" t="s">
        <v>31</v>
      </c>
      <c r="H62" s="45">
        <f>2800.8/F62</f>
        <v>1400.4</v>
      </c>
      <c r="I62" s="45">
        <f>F62*H62</f>
        <v>2800.8</v>
      </c>
      <c r="J62" s="13" t="s">
        <v>123</v>
      </c>
      <c r="L62" s="2"/>
    </row>
    <row r="63" spans="1:12" ht="46.5" customHeight="1" x14ac:dyDescent="0.25">
      <c r="A63" s="9"/>
      <c r="B63" s="8"/>
      <c r="C63" s="4"/>
      <c r="D63" s="15" t="s">
        <v>193</v>
      </c>
      <c r="E63" s="42"/>
      <c r="F63" s="42">
        <f>1</f>
        <v>1</v>
      </c>
      <c r="G63" s="13" t="s">
        <v>31</v>
      </c>
      <c r="H63" s="45">
        <f>1363.6/F63</f>
        <v>1363.6</v>
      </c>
      <c r="I63" s="63">
        <f>F63*H63</f>
        <v>1363.6</v>
      </c>
      <c r="J63" s="13" t="s">
        <v>120</v>
      </c>
      <c r="L63" s="2"/>
    </row>
    <row r="64" spans="1:12" ht="46.5" customHeight="1" x14ac:dyDescent="0.25">
      <c r="A64" s="9"/>
      <c r="B64" s="8"/>
      <c r="C64" s="4"/>
      <c r="D64" s="43" t="s">
        <v>182</v>
      </c>
      <c r="E64" s="42"/>
      <c r="F64" s="42">
        <f>4</f>
        <v>4</v>
      </c>
      <c r="G64" s="13" t="s">
        <v>31</v>
      </c>
      <c r="H64" s="42">
        <f>68634.4/F64</f>
        <v>17158.599999999999</v>
      </c>
      <c r="I64" s="58">
        <f>F64*H64</f>
        <v>68634.399999999994</v>
      </c>
      <c r="J64" s="13" t="s">
        <v>120</v>
      </c>
      <c r="L64" s="2"/>
    </row>
    <row r="65" spans="1:12" ht="46.5" customHeight="1" x14ac:dyDescent="0.25">
      <c r="A65" s="9"/>
      <c r="B65" s="8"/>
      <c r="C65" s="4"/>
      <c r="D65" s="15" t="s">
        <v>183</v>
      </c>
      <c r="E65" s="32"/>
      <c r="F65" s="13">
        <f>4</f>
        <v>4</v>
      </c>
      <c r="G65" s="13" t="s">
        <v>31</v>
      </c>
      <c r="H65" s="13">
        <f>27690.8/F65</f>
        <v>6922.7</v>
      </c>
      <c r="I65" s="59">
        <f t="shared" si="1"/>
        <v>27690.799999999999</v>
      </c>
      <c r="J65" s="13" t="s">
        <v>120</v>
      </c>
      <c r="L65" s="2"/>
    </row>
    <row r="66" spans="1:12" ht="18.75" x14ac:dyDescent="0.25">
      <c r="A66" s="9" t="s">
        <v>84</v>
      </c>
      <c r="B66" s="8"/>
      <c r="C66" s="4"/>
      <c r="D66" s="15" t="s">
        <v>156</v>
      </c>
      <c r="E66" s="42"/>
      <c r="F66" s="42"/>
      <c r="G66" s="13" t="s">
        <v>55</v>
      </c>
      <c r="H66" s="42"/>
      <c r="I66" s="42"/>
      <c r="J66" s="13"/>
      <c r="L66" s="2"/>
    </row>
    <row r="67" spans="1:12" ht="18.75" x14ac:dyDescent="0.25">
      <c r="A67" s="9"/>
      <c r="B67" s="8"/>
      <c r="C67" s="4"/>
      <c r="D67" s="15" t="s">
        <v>136</v>
      </c>
      <c r="E67" s="32"/>
      <c r="F67" s="13">
        <f>7+7</f>
        <v>14</v>
      </c>
      <c r="G67" s="13" t="s">
        <v>31</v>
      </c>
      <c r="H67" s="33">
        <f>(8305.2+8305.2)/F67</f>
        <v>1186.457142857143</v>
      </c>
      <c r="I67" s="59">
        <f t="shared" si="1"/>
        <v>16610.400000000001</v>
      </c>
      <c r="J67" s="13" t="s">
        <v>120</v>
      </c>
      <c r="L67" s="2"/>
    </row>
    <row r="68" spans="1:12" ht="18.75" x14ac:dyDescent="0.25">
      <c r="A68" s="9" t="s">
        <v>20</v>
      </c>
      <c r="B68" s="8"/>
      <c r="C68" s="4"/>
      <c r="D68" s="15" t="s">
        <v>69</v>
      </c>
      <c r="E68" s="42" t="s">
        <v>143</v>
      </c>
      <c r="F68" s="42" t="s">
        <v>143</v>
      </c>
      <c r="G68" s="13" t="s">
        <v>30</v>
      </c>
      <c r="H68" s="42" t="s">
        <v>143</v>
      </c>
      <c r="I68" s="42" t="s">
        <v>143</v>
      </c>
      <c r="J68" s="13"/>
      <c r="L68" s="2"/>
    </row>
    <row r="69" spans="1:12" ht="31.5" x14ac:dyDescent="0.25">
      <c r="A69" s="9" t="s">
        <v>21</v>
      </c>
      <c r="B69" s="8"/>
      <c r="C69" s="4"/>
      <c r="D69" s="15" t="s">
        <v>71</v>
      </c>
      <c r="E69" s="42" t="s">
        <v>143</v>
      </c>
      <c r="F69" s="42">
        <f>1</f>
        <v>1</v>
      </c>
      <c r="G69" s="13" t="s">
        <v>55</v>
      </c>
      <c r="H69" s="42">
        <f>25320/F69</f>
        <v>25320</v>
      </c>
      <c r="I69" s="58">
        <f>F69*H69</f>
        <v>25320</v>
      </c>
      <c r="J69" s="13" t="s">
        <v>120</v>
      </c>
      <c r="L69" s="2"/>
    </row>
    <row r="70" spans="1:12" ht="18.75" x14ac:dyDescent="0.3">
      <c r="A70" s="70" t="s">
        <v>72</v>
      </c>
      <c r="B70" s="71"/>
      <c r="C70" s="71"/>
      <c r="D70" s="71"/>
      <c r="E70" s="71"/>
      <c r="F70" s="71"/>
      <c r="G70" s="72"/>
      <c r="H70" s="19"/>
      <c r="I70" s="53">
        <f>SUM(I59:I69)</f>
        <v>423040.99999999994</v>
      </c>
      <c r="J70" s="5"/>
      <c r="L70" s="2"/>
    </row>
    <row r="71" spans="1:12" ht="37.5" x14ac:dyDescent="0.25">
      <c r="A71" s="9" t="s">
        <v>93</v>
      </c>
      <c r="B71" s="8"/>
      <c r="C71" s="4"/>
      <c r="D71" s="4" t="s">
        <v>131</v>
      </c>
      <c r="E71" s="31"/>
      <c r="F71" s="13">
        <f>8+2+4+2+4+6+4+2+6+6+4+4</f>
        <v>52</v>
      </c>
      <c r="G71" s="13" t="s">
        <v>117</v>
      </c>
      <c r="H71" s="33">
        <f>(5052.4+1263+2527.8+1291.6+2584.8+3876.4+2653.4+1325.2+4103+3978.4+2737+2737)/F71/3</f>
        <v>218.78205128205136</v>
      </c>
      <c r="I71" s="33">
        <f>F71*H71</f>
        <v>11376.66666666667</v>
      </c>
      <c r="J71" s="13" t="s">
        <v>118</v>
      </c>
      <c r="L71" s="2"/>
    </row>
    <row r="72" spans="1:12" ht="18.75" x14ac:dyDescent="0.25">
      <c r="A72" s="9"/>
      <c r="B72" s="8"/>
      <c r="C72" s="4"/>
      <c r="D72" s="43" t="s">
        <v>162</v>
      </c>
      <c r="E72" s="42"/>
      <c r="F72" s="42"/>
      <c r="G72" s="13" t="s">
        <v>31</v>
      </c>
      <c r="H72" s="42"/>
      <c r="I72" s="42"/>
      <c r="J72" s="13"/>
      <c r="L72" s="2"/>
    </row>
    <row r="73" spans="1:12" ht="31.5" x14ac:dyDescent="0.25">
      <c r="A73" s="9"/>
      <c r="B73" s="8"/>
      <c r="C73" s="4"/>
      <c r="D73" s="15" t="s">
        <v>166</v>
      </c>
      <c r="E73" s="31"/>
      <c r="F73" s="13"/>
      <c r="G73" s="13" t="s">
        <v>167</v>
      </c>
      <c r="H73" s="13"/>
      <c r="I73" s="13"/>
      <c r="J73" s="13"/>
      <c r="L73" s="2"/>
    </row>
    <row r="74" spans="1:12" ht="47.25" x14ac:dyDescent="0.25">
      <c r="A74" s="9"/>
      <c r="B74" s="8"/>
      <c r="C74" s="4"/>
      <c r="D74" s="15" t="s">
        <v>168</v>
      </c>
      <c r="E74" s="31"/>
      <c r="F74" s="13">
        <f>4+1+4+2</f>
        <v>11</v>
      </c>
      <c r="G74" s="13" t="s">
        <v>169</v>
      </c>
      <c r="H74" s="33">
        <f>(25796+6449.8+27793.8+13899)/F74</f>
        <v>6721.6909090909094</v>
      </c>
      <c r="I74" s="59">
        <f t="shared" ref="I74" si="2">F74*H74</f>
        <v>73938.600000000006</v>
      </c>
      <c r="J74" s="13" t="s">
        <v>118</v>
      </c>
      <c r="L74" s="2"/>
    </row>
    <row r="75" spans="1:12" ht="47.25" x14ac:dyDescent="0.25">
      <c r="A75" s="9"/>
      <c r="B75" s="8"/>
      <c r="C75" s="4"/>
      <c r="D75" s="15" t="s">
        <v>170</v>
      </c>
      <c r="E75" s="31"/>
      <c r="F75" s="13"/>
      <c r="G75" s="13" t="s">
        <v>30</v>
      </c>
      <c r="H75" s="13"/>
      <c r="I75" s="13"/>
      <c r="J75" s="13"/>
      <c r="L75" s="2"/>
    </row>
    <row r="76" spans="1:12" ht="18.75" x14ac:dyDescent="0.25">
      <c r="A76" s="9" t="s">
        <v>84</v>
      </c>
      <c r="B76" s="8"/>
      <c r="C76" s="4"/>
      <c r="D76" s="15" t="s">
        <v>70</v>
      </c>
      <c r="E76" s="42" t="s">
        <v>143</v>
      </c>
      <c r="F76" s="42" t="s">
        <v>143</v>
      </c>
      <c r="G76" s="13" t="s">
        <v>55</v>
      </c>
      <c r="H76" s="42" t="s">
        <v>143</v>
      </c>
      <c r="I76" s="42" t="s">
        <v>143</v>
      </c>
      <c r="J76" s="5"/>
      <c r="L76" s="2"/>
    </row>
    <row r="77" spans="1:12" ht="31.5" x14ac:dyDescent="0.25">
      <c r="A77" s="9" t="s">
        <v>21</v>
      </c>
      <c r="B77" s="8"/>
      <c r="C77" s="4"/>
      <c r="D77" s="15" t="s">
        <v>71</v>
      </c>
      <c r="E77" s="42" t="s">
        <v>143</v>
      </c>
      <c r="F77" s="42" t="s">
        <v>143</v>
      </c>
      <c r="G77" s="13" t="s">
        <v>146</v>
      </c>
      <c r="H77" s="42" t="s">
        <v>143</v>
      </c>
      <c r="I77" s="42" t="s">
        <v>143</v>
      </c>
      <c r="J77" s="13"/>
      <c r="L77" s="2"/>
    </row>
    <row r="78" spans="1:12" ht="18.75" x14ac:dyDescent="0.3">
      <c r="A78" s="70" t="s">
        <v>73</v>
      </c>
      <c r="B78" s="71"/>
      <c r="C78" s="71"/>
      <c r="D78" s="71"/>
      <c r="E78" s="71"/>
      <c r="F78" s="71"/>
      <c r="G78" s="72"/>
      <c r="H78" s="13"/>
      <c r="I78" s="53">
        <f>SUM(I71:I77)</f>
        <v>85315.266666666677</v>
      </c>
      <c r="J78" s="5"/>
      <c r="L78" s="2"/>
    </row>
    <row r="79" spans="1:12" ht="37.5" x14ac:dyDescent="0.25">
      <c r="A79" s="9" t="s">
        <v>93</v>
      </c>
      <c r="B79" s="8"/>
      <c r="C79" s="4"/>
      <c r="D79" s="4" t="s">
        <v>132</v>
      </c>
      <c r="E79" s="31"/>
      <c r="F79" s="13">
        <f>8+2+4+2+4+6+4+2+6+6+4+4</f>
        <v>52</v>
      </c>
      <c r="G79" s="13" t="s">
        <v>117</v>
      </c>
      <c r="H79" s="33">
        <f>(5052.4+1263+2527.8+1291.6+2584.8+3876.4+2653.4+1325.2+4103+3978.4+2737+2737)/F79/3</f>
        <v>218.78205128205136</v>
      </c>
      <c r="I79" s="33">
        <f>F79*H79</f>
        <v>11376.66666666667</v>
      </c>
      <c r="J79" s="13" t="s">
        <v>118</v>
      </c>
      <c r="L79" s="2"/>
    </row>
    <row r="80" spans="1:12" ht="47.25" x14ac:dyDescent="0.25">
      <c r="A80" s="9"/>
      <c r="B80" s="8"/>
      <c r="C80" s="4"/>
      <c r="D80" s="15" t="s">
        <v>147</v>
      </c>
      <c r="E80" s="31"/>
      <c r="F80" s="31"/>
      <c r="G80" s="13" t="s">
        <v>30</v>
      </c>
      <c r="H80" s="31">
        <v>308.25</v>
      </c>
      <c r="I80" s="31"/>
      <c r="J80" s="13"/>
      <c r="L80" s="2"/>
    </row>
    <row r="81" spans="1:12" ht="18.75" x14ac:dyDescent="0.25">
      <c r="A81" s="9" t="s">
        <v>84</v>
      </c>
      <c r="B81" s="8"/>
      <c r="C81" s="4"/>
      <c r="D81" s="15" t="s">
        <v>70</v>
      </c>
      <c r="E81" s="42" t="s">
        <v>143</v>
      </c>
      <c r="F81" s="42" t="s">
        <v>143</v>
      </c>
      <c r="G81" s="14" t="s">
        <v>55</v>
      </c>
      <c r="H81" s="42" t="s">
        <v>143</v>
      </c>
      <c r="I81" s="42" t="s">
        <v>143</v>
      </c>
      <c r="J81" s="5"/>
      <c r="L81" s="2"/>
    </row>
    <row r="82" spans="1:12" ht="31.5" x14ac:dyDescent="0.25">
      <c r="A82" s="9"/>
      <c r="B82" s="8"/>
      <c r="C82" s="4"/>
      <c r="D82" s="15" t="s">
        <v>184</v>
      </c>
      <c r="E82" s="42"/>
      <c r="F82" s="42">
        <f>1</f>
        <v>1</v>
      </c>
      <c r="G82" s="14" t="s">
        <v>31</v>
      </c>
      <c r="H82" s="42">
        <f>21667.6/F82</f>
        <v>21667.599999999999</v>
      </c>
      <c r="I82" s="58">
        <f>F82*H82</f>
        <v>21667.599999999999</v>
      </c>
      <c r="J82" s="13" t="s">
        <v>120</v>
      </c>
      <c r="L82" s="2"/>
    </row>
    <row r="83" spans="1:12" ht="18.75" x14ac:dyDescent="0.25">
      <c r="A83" s="9"/>
      <c r="B83" s="8"/>
      <c r="C83" s="4"/>
      <c r="D83" s="15" t="s">
        <v>200</v>
      </c>
      <c r="E83" s="42"/>
      <c r="F83" s="42">
        <f>1</f>
        <v>1</v>
      </c>
      <c r="G83" s="14" t="s">
        <v>31</v>
      </c>
      <c r="H83" s="42">
        <f>1125/F83</f>
        <v>1125</v>
      </c>
      <c r="I83" s="58">
        <f>F83*H83</f>
        <v>1125</v>
      </c>
      <c r="J83" s="13" t="s">
        <v>120</v>
      </c>
      <c r="L83" s="2"/>
    </row>
    <row r="84" spans="1:12" ht="18.75" x14ac:dyDescent="0.25">
      <c r="A84" s="9"/>
      <c r="B84" s="8"/>
      <c r="C84" s="4"/>
      <c r="D84" s="15" t="s">
        <v>201</v>
      </c>
      <c r="E84" s="42"/>
      <c r="F84" s="42">
        <f>1</f>
        <v>1</v>
      </c>
      <c r="G84" s="14" t="s">
        <v>31</v>
      </c>
      <c r="H84" s="42">
        <f>296/F84</f>
        <v>296</v>
      </c>
      <c r="I84" s="58">
        <f>F84*H84</f>
        <v>296</v>
      </c>
      <c r="J84" s="13" t="s">
        <v>120</v>
      </c>
      <c r="L84" s="2"/>
    </row>
    <row r="85" spans="1:12" ht="31.5" x14ac:dyDescent="0.25">
      <c r="A85" s="9" t="s">
        <v>21</v>
      </c>
      <c r="B85" s="8"/>
      <c r="C85" s="4"/>
      <c r="D85" s="15" t="s">
        <v>71</v>
      </c>
      <c r="E85" s="42" t="s">
        <v>143</v>
      </c>
      <c r="F85" s="42" t="s">
        <v>143</v>
      </c>
      <c r="G85" s="14" t="s">
        <v>55</v>
      </c>
      <c r="H85" s="42" t="s">
        <v>143</v>
      </c>
      <c r="I85" s="42" t="s">
        <v>143</v>
      </c>
      <c r="J85" s="13"/>
      <c r="L85" s="2"/>
    </row>
    <row r="86" spans="1:12" ht="18.75" x14ac:dyDescent="0.25">
      <c r="A86" s="9"/>
      <c r="B86" s="8"/>
      <c r="C86" s="4"/>
      <c r="D86" s="15" t="s">
        <v>191</v>
      </c>
      <c r="E86" s="31"/>
      <c r="F86" s="31">
        <f>1</f>
        <v>1</v>
      </c>
      <c r="G86" s="13" t="s">
        <v>31</v>
      </c>
      <c r="H86" s="56">
        <f>15900</f>
        <v>15900</v>
      </c>
      <c r="I86" s="60">
        <f>F86*H86</f>
        <v>15900</v>
      </c>
      <c r="J86" s="13" t="s">
        <v>120</v>
      </c>
      <c r="L86" s="2"/>
    </row>
    <row r="87" spans="1:12" ht="18.75" x14ac:dyDescent="0.3">
      <c r="A87" s="70" t="s">
        <v>74</v>
      </c>
      <c r="B87" s="71"/>
      <c r="C87" s="71"/>
      <c r="D87" s="71"/>
      <c r="E87" s="71"/>
      <c r="F87" s="71"/>
      <c r="G87" s="72"/>
      <c r="H87" s="19"/>
      <c r="I87" s="53">
        <f>SUM(I79:I86)</f>
        <v>50365.26666666667</v>
      </c>
      <c r="J87" s="5"/>
      <c r="L87" s="2"/>
    </row>
    <row r="88" spans="1:12" ht="37.5" x14ac:dyDescent="0.25">
      <c r="A88" s="9" t="s">
        <v>99</v>
      </c>
      <c r="B88" s="8"/>
      <c r="C88" s="4"/>
      <c r="D88" s="4" t="s">
        <v>133</v>
      </c>
      <c r="E88" s="31"/>
      <c r="F88" s="13">
        <f>8+2+4+2+4+6+4+2+6+6+4+4</f>
        <v>52</v>
      </c>
      <c r="G88" s="13" t="s">
        <v>117</v>
      </c>
      <c r="H88" s="33">
        <f>(5052.4+1263+2527.8+1291.6+2584.8+3876.4+2653.4+1325.2+4103+3978.4+2737+2737)/F88/3</f>
        <v>218.78205128205136</v>
      </c>
      <c r="I88" s="33">
        <f>F88*H88</f>
        <v>11376.66666666667</v>
      </c>
      <c r="J88" s="13" t="s">
        <v>118</v>
      </c>
      <c r="L88" s="2"/>
    </row>
    <row r="89" spans="1:12" ht="31.5" x14ac:dyDescent="0.25">
      <c r="A89" s="9"/>
      <c r="B89" s="8"/>
      <c r="C89" s="4"/>
      <c r="D89" s="15" t="s">
        <v>158</v>
      </c>
      <c r="E89" s="31"/>
      <c r="F89" s="13">
        <f>2+2+2+3+3+2+2+2+3</f>
        <v>21</v>
      </c>
      <c r="G89" s="13" t="s">
        <v>140</v>
      </c>
      <c r="H89" s="33">
        <f>(117.6+117.6+120.6+185+185+128.8+122.6+128.8+192.2)/F89</f>
        <v>61.819047619047623</v>
      </c>
      <c r="I89" s="33">
        <f>F89*H89</f>
        <v>1298.2</v>
      </c>
      <c r="J89" s="13" t="s">
        <v>123</v>
      </c>
      <c r="L89" s="2"/>
    </row>
    <row r="90" spans="1:12" ht="18.75" x14ac:dyDescent="0.25">
      <c r="A90" s="9"/>
      <c r="B90" s="8"/>
      <c r="C90" s="4"/>
      <c r="D90" s="4" t="s">
        <v>116</v>
      </c>
      <c r="E90" s="42"/>
      <c r="F90" s="42">
        <f>12+12+36+24+24+12+24+24</f>
        <v>168</v>
      </c>
      <c r="G90" s="13" t="s">
        <v>30</v>
      </c>
      <c r="H90" s="45">
        <f>(3613.2+3613.2+11395.4+7595.4+7824.4+3796.8+7824.4+7824.4)/F90</f>
        <v>318.37619047619052</v>
      </c>
      <c r="I90" s="42">
        <f>F90*H90</f>
        <v>53487.200000000004</v>
      </c>
      <c r="J90" s="13" t="s">
        <v>118</v>
      </c>
      <c r="L90" s="2"/>
    </row>
    <row r="91" spans="1:12" ht="18.75" x14ac:dyDescent="0.25">
      <c r="A91" s="9" t="s">
        <v>22</v>
      </c>
      <c r="B91" s="8"/>
      <c r="C91" s="4"/>
      <c r="D91" s="4" t="s">
        <v>77</v>
      </c>
      <c r="E91" s="42" t="s">
        <v>143</v>
      </c>
      <c r="F91" s="42" t="s">
        <v>143</v>
      </c>
      <c r="G91" s="13" t="s">
        <v>30</v>
      </c>
      <c r="H91" s="42" t="s">
        <v>143</v>
      </c>
      <c r="I91" s="42" t="s">
        <v>143</v>
      </c>
      <c r="J91" s="5"/>
      <c r="L91" s="2"/>
    </row>
    <row r="92" spans="1:12" ht="18.75" x14ac:dyDescent="0.3">
      <c r="A92" s="70" t="s">
        <v>79</v>
      </c>
      <c r="B92" s="71"/>
      <c r="C92" s="71"/>
      <c r="D92" s="71"/>
      <c r="E92" s="71"/>
      <c r="F92" s="71"/>
      <c r="G92" s="72"/>
      <c r="H92" s="5"/>
      <c r="I92" s="53">
        <f>SUM(I88:I91)</f>
        <v>66162.06666666668</v>
      </c>
      <c r="J92" s="5"/>
      <c r="L92" s="2"/>
    </row>
    <row r="93" spans="1:12" ht="38.25" customHeight="1" x14ac:dyDescent="0.25">
      <c r="A93" s="9" t="s">
        <v>23</v>
      </c>
      <c r="B93" s="5"/>
      <c r="C93" s="4"/>
      <c r="D93" s="4" t="s">
        <v>157</v>
      </c>
      <c r="E93" s="42"/>
      <c r="F93" s="42"/>
      <c r="G93" s="13" t="s">
        <v>55</v>
      </c>
      <c r="H93" s="42"/>
      <c r="I93" s="42"/>
      <c r="J93" s="13"/>
      <c r="L93" s="2"/>
    </row>
    <row r="94" spans="1:12" ht="38.25" customHeight="1" x14ac:dyDescent="0.25">
      <c r="A94" s="9"/>
      <c r="B94" s="5"/>
      <c r="C94" s="4"/>
      <c r="D94" s="4" t="s">
        <v>181</v>
      </c>
      <c r="E94" s="42"/>
      <c r="F94" s="42">
        <f>2</f>
        <v>2</v>
      </c>
      <c r="G94" s="13" t="s">
        <v>31</v>
      </c>
      <c r="H94" s="42">
        <f>54112.6/F94</f>
        <v>27056.3</v>
      </c>
      <c r="I94" s="58">
        <f>F94*H94</f>
        <v>54112.6</v>
      </c>
      <c r="J94" s="13" t="s">
        <v>124</v>
      </c>
      <c r="L94" s="2"/>
    </row>
    <row r="95" spans="1:12" ht="18.75" x14ac:dyDescent="0.25">
      <c r="A95" s="9" t="s">
        <v>24</v>
      </c>
      <c r="B95" s="5"/>
      <c r="C95" s="4"/>
      <c r="D95" s="4" t="s">
        <v>78</v>
      </c>
      <c r="E95" s="42"/>
      <c r="F95" s="42"/>
      <c r="G95" s="13" t="s">
        <v>55</v>
      </c>
      <c r="H95" s="42" t="s">
        <v>143</v>
      </c>
      <c r="I95" s="42" t="s">
        <v>143</v>
      </c>
      <c r="J95" s="13"/>
      <c r="L95" s="2"/>
    </row>
    <row r="96" spans="1:12" ht="18.75" x14ac:dyDescent="0.25">
      <c r="A96" s="9" t="s">
        <v>129</v>
      </c>
      <c r="B96" s="5"/>
      <c r="C96" s="4"/>
      <c r="D96" s="15" t="s">
        <v>180</v>
      </c>
      <c r="E96" s="31"/>
      <c r="F96" s="13">
        <f>8</f>
        <v>8</v>
      </c>
      <c r="G96" s="13" t="s">
        <v>55</v>
      </c>
      <c r="H96" s="13">
        <f>2946/F96</f>
        <v>368.25</v>
      </c>
      <c r="I96" s="59">
        <f t="shared" ref="I96:I106" si="3">F96*H96</f>
        <v>2946</v>
      </c>
      <c r="J96" s="13" t="s">
        <v>154</v>
      </c>
      <c r="L96" s="2"/>
    </row>
    <row r="97" spans="1:12" ht="18.75" x14ac:dyDescent="0.25">
      <c r="A97" s="9"/>
      <c r="B97" s="5"/>
      <c r="C97" s="4"/>
      <c r="D97" s="15" t="s">
        <v>185</v>
      </c>
      <c r="E97" s="31"/>
      <c r="F97" s="31">
        <f>1</f>
        <v>1</v>
      </c>
      <c r="G97" s="13" t="s">
        <v>31</v>
      </c>
      <c r="H97" s="31">
        <f>593/F97</f>
        <v>593</v>
      </c>
      <c r="I97" s="61">
        <f>F97*H97</f>
        <v>593</v>
      </c>
      <c r="J97" s="13" t="s">
        <v>120</v>
      </c>
      <c r="L97" s="2"/>
    </row>
    <row r="98" spans="1:12" ht="18.75" x14ac:dyDescent="0.25">
      <c r="A98" s="9"/>
      <c r="B98" s="5"/>
      <c r="C98" s="4"/>
      <c r="D98" s="15" t="s">
        <v>189</v>
      </c>
      <c r="E98" s="31"/>
      <c r="F98" s="31">
        <f>8+11+10</f>
        <v>29</v>
      </c>
      <c r="G98" s="13" t="s">
        <v>151</v>
      </c>
      <c r="H98" s="56">
        <f>(1816.8+2280+2070.6)/F98</f>
        <v>212.66896551724136</v>
      </c>
      <c r="I98" s="61">
        <f>H98*F98</f>
        <v>6167.4</v>
      </c>
      <c r="J98" s="13" t="s">
        <v>120</v>
      </c>
      <c r="L98" s="2"/>
    </row>
    <row r="99" spans="1:12" ht="18.75" x14ac:dyDescent="0.25">
      <c r="A99" s="9"/>
      <c r="B99" s="5"/>
      <c r="C99" s="4"/>
      <c r="D99" s="15" t="s">
        <v>179</v>
      </c>
      <c r="E99" s="42"/>
      <c r="F99" s="42">
        <f>2+10+10+6</f>
        <v>28</v>
      </c>
      <c r="G99" s="13" t="s">
        <v>151</v>
      </c>
      <c r="H99" s="45">
        <f>(472.4+2103.8+2315.2+1383.4)/F99</f>
        <v>224.09999999999997</v>
      </c>
      <c r="I99" s="58">
        <f>F99*H99</f>
        <v>6274.7999999999993</v>
      </c>
      <c r="J99" s="13" t="s">
        <v>124</v>
      </c>
      <c r="L99" s="2"/>
    </row>
    <row r="100" spans="1:12" ht="18.75" x14ac:dyDescent="0.25">
      <c r="A100" s="9"/>
      <c r="B100" s="5"/>
      <c r="C100" s="4"/>
      <c r="D100" s="15" t="s">
        <v>187</v>
      </c>
      <c r="E100" s="42"/>
      <c r="F100" s="42">
        <f>56+4</f>
        <v>60</v>
      </c>
      <c r="G100" s="13" t="s">
        <v>31</v>
      </c>
      <c r="H100" s="45">
        <f>(2992.4+222.4)/F100</f>
        <v>53.580000000000005</v>
      </c>
      <c r="I100" s="58">
        <f>F100*H100</f>
        <v>3214.8</v>
      </c>
      <c r="J100" s="13" t="s">
        <v>120</v>
      </c>
      <c r="L100" s="2"/>
    </row>
    <row r="101" spans="1:12" ht="18.75" x14ac:dyDescent="0.25">
      <c r="A101" s="9"/>
      <c r="B101" s="5"/>
      <c r="C101" s="4"/>
      <c r="D101" s="15" t="s">
        <v>188</v>
      </c>
      <c r="E101" s="42"/>
      <c r="F101" s="42">
        <f>56+4</f>
        <v>60</v>
      </c>
      <c r="G101" s="13" t="s">
        <v>31</v>
      </c>
      <c r="H101" s="45">
        <f>(105390.8+8006.8)/F101</f>
        <v>1889.96</v>
      </c>
      <c r="I101" s="58">
        <f>F101*H101</f>
        <v>113397.6</v>
      </c>
      <c r="J101" s="13" t="s">
        <v>120</v>
      </c>
      <c r="L101" s="2"/>
    </row>
    <row r="102" spans="1:12" ht="31.5" x14ac:dyDescent="0.25">
      <c r="A102" s="9"/>
      <c r="B102" s="5"/>
      <c r="C102" s="4"/>
      <c r="D102" s="15" t="s">
        <v>130</v>
      </c>
      <c r="E102" s="31"/>
      <c r="F102" s="13">
        <f>5</f>
        <v>5</v>
      </c>
      <c r="G102" s="13" t="s">
        <v>31</v>
      </c>
      <c r="H102" s="13">
        <f>8386.6/F102</f>
        <v>1677.3200000000002</v>
      </c>
      <c r="I102" s="59">
        <f t="shared" si="3"/>
        <v>8386.6</v>
      </c>
      <c r="J102" s="13" t="s">
        <v>124</v>
      </c>
      <c r="L102" s="2"/>
    </row>
    <row r="103" spans="1:12" ht="18.75" x14ac:dyDescent="0.25">
      <c r="A103" s="9"/>
      <c r="B103" s="5"/>
      <c r="C103" s="4"/>
      <c r="D103" s="15" t="s">
        <v>107</v>
      </c>
      <c r="E103" s="42"/>
      <c r="F103" s="42"/>
      <c r="G103" s="13" t="s">
        <v>55</v>
      </c>
      <c r="H103" s="42" t="s">
        <v>143</v>
      </c>
      <c r="I103" s="42" t="s">
        <v>143</v>
      </c>
      <c r="J103" s="13"/>
      <c r="L103" s="2"/>
    </row>
    <row r="104" spans="1:12" ht="18.75" x14ac:dyDescent="0.25">
      <c r="A104" s="9"/>
      <c r="B104" s="5"/>
      <c r="C104" s="4"/>
      <c r="D104" s="15" t="s">
        <v>108</v>
      </c>
      <c r="E104" s="32"/>
      <c r="F104" s="13">
        <f>3+2+33+2+3+9+6</f>
        <v>58</v>
      </c>
      <c r="G104" s="13" t="s">
        <v>55</v>
      </c>
      <c r="H104" s="33">
        <f>(957+334.6+6038.4+337.8+512.8+1540.2+1036.6)/F104</f>
        <v>185.47241379310347</v>
      </c>
      <c r="I104" s="13">
        <f t="shared" si="3"/>
        <v>10757.400000000001</v>
      </c>
      <c r="J104" s="13" t="s">
        <v>118</v>
      </c>
      <c r="L104" s="2"/>
    </row>
    <row r="105" spans="1:12" ht="18.75" x14ac:dyDescent="0.25">
      <c r="A105" s="9"/>
      <c r="B105" s="5"/>
      <c r="C105" s="4"/>
      <c r="D105" s="15" t="s">
        <v>178</v>
      </c>
      <c r="E105" s="42"/>
      <c r="F105" s="42">
        <f>1</f>
        <v>1</v>
      </c>
      <c r="G105" s="13" t="s">
        <v>31</v>
      </c>
      <c r="H105" s="42">
        <f>1030/F105</f>
        <v>1030</v>
      </c>
      <c r="I105" s="46">
        <f>F105*H105</f>
        <v>1030</v>
      </c>
      <c r="J105" s="13" t="s">
        <v>118</v>
      </c>
      <c r="L105" s="2"/>
    </row>
    <row r="106" spans="1:12" ht="56.25" x14ac:dyDescent="0.25">
      <c r="A106" s="9" t="s">
        <v>109</v>
      </c>
      <c r="B106" s="5"/>
      <c r="C106" s="4"/>
      <c r="D106" s="15" t="s">
        <v>127</v>
      </c>
      <c r="E106" s="32"/>
      <c r="F106" s="13">
        <f>28+28+28+28+28+28+28+28+28+28+28+28</f>
        <v>336</v>
      </c>
      <c r="G106" s="13" t="s">
        <v>110</v>
      </c>
      <c r="H106" s="33">
        <f>(2483.6+2483.6+2483.6+2539.6+2539.6+2539.6+2609+2609+2609+2688.6+2688.6+2688.6)/F106</f>
        <v>92.149999999999977</v>
      </c>
      <c r="I106" s="13">
        <f t="shared" si="3"/>
        <v>30962.399999999994</v>
      </c>
      <c r="J106" s="13" t="s">
        <v>118</v>
      </c>
      <c r="L106" s="2"/>
    </row>
    <row r="107" spans="1:12" ht="18.75" x14ac:dyDescent="0.25">
      <c r="A107" s="77" t="s">
        <v>92</v>
      </c>
      <c r="B107" s="78"/>
      <c r="C107" s="78"/>
      <c r="D107" s="78"/>
      <c r="E107" s="78"/>
      <c r="F107" s="78"/>
      <c r="G107" s="79"/>
      <c r="H107" s="12"/>
      <c r="I107" s="51">
        <f>SUM(I93:I106)</f>
        <v>237842.6</v>
      </c>
      <c r="J107" s="5"/>
      <c r="L107" s="2"/>
    </row>
    <row r="108" spans="1:12" ht="18.75" x14ac:dyDescent="0.25">
      <c r="A108" s="26"/>
      <c r="B108" s="27"/>
      <c r="C108" s="27"/>
      <c r="D108" s="36" t="s">
        <v>119</v>
      </c>
      <c r="E108" s="42" t="s">
        <v>143</v>
      </c>
      <c r="F108" s="42" t="s">
        <v>143</v>
      </c>
      <c r="G108" s="38" t="s">
        <v>31</v>
      </c>
      <c r="H108" s="42" t="s">
        <v>143</v>
      </c>
      <c r="I108" s="42" t="s">
        <v>143</v>
      </c>
      <c r="J108" s="13" t="s">
        <v>118</v>
      </c>
      <c r="L108" s="2"/>
    </row>
    <row r="109" spans="1:12" ht="63" x14ac:dyDescent="0.25">
      <c r="A109" s="9" t="s">
        <v>90</v>
      </c>
      <c r="B109" s="22"/>
      <c r="C109" s="22"/>
      <c r="D109" s="23" t="s">
        <v>121</v>
      </c>
      <c r="E109" s="37">
        <v>967</v>
      </c>
      <c r="F109" s="13">
        <v>967</v>
      </c>
      <c r="G109" s="31" t="s">
        <v>91</v>
      </c>
      <c r="H109" s="31">
        <v>4.8</v>
      </c>
      <c r="I109" s="13">
        <f>F109*H109*12</f>
        <v>55699.199999999997</v>
      </c>
      <c r="J109" s="13" t="s">
        <v>118</v>
      </c>
      <c r="L109" s="2"/>
    </row>
    <row r="110" spans="1:12" ht="18.75" x14ac:dyDescent="0.3">
      <c r="A110" s="70" t="s">
        <v>80</v>
      </c>
      <c r="B110" s="71"/>
      <c r="C110" s="71"/>
      <c r="D110" s="71"/>
      <c r="E110" s="71"/>
      <c r="F110" s="71"/>
      <c r="G110" s="72"/>
      <c r="H110" s="19"/>
      <c r="I110" s="51">
        <f>SUM(I108:I109)</f>
        <v>55699.199999999997</v>
      </c>
      <c r="J110" s="5"/>
      <c r="L110" s="2"/>
    </row>
    <row r="111" spans="1:12" ht="46.5" customHeight="1" x14ac:dyDescent="0.3">
      <c r="A111" s="34" t="s">
        <v>135</v>
      </c>
      <c r="B111" s="24"/>
      <c r="C111" s="24"/>
      <c r="D111" s="35" t="s">
        <v>134</v>
      </c>
      <c r="E111" s="13">
        <v>260</v>
      </c>
      <c r="F111" s="13">
        <v>260</v>
      </c>
      <c r="G111" s="13" t="s">
        <v>142</v>
      </c>
      <c r="H111" s="13">
        <v>13</v>
      </c>
      <c r="I111" s="13">
        <f>F111*H111*3</f>
        <v>10140</v>
      </c>
      <c r="J111" s="13" t="s">
        <v>155</v>
      </c>
      <c r="L111" s="2"/>
    </row>
    <row r="112" spans="1:12" ht="18.75" x14ac:dyDescent="0.25">
      <c r="A112" s="9" t="s">
        <v>25</v>
      </c>
      <c r="B112" s="5"/>
      <c r="C112" s="4"/>
      <c r="D112" s="4" t="s">
        <v>76</v>
      </c>
      <c r="E112" s="42" t="s">
        <v>143</v>
      </c>
      <c r="F112" s="42" t="s">
        <v>143</v>
      </c>
      <c r="G112" s="14" t="s">
        <v>55</v>
      </c>
      <c r="H112" s="42" t="s">
        <v>143</v>
      </c>
      <c r="I112" s="42" t="s">
        <v>143</v>
      </c>
      <c r="J112" s="5"/>
      <c r="L112" s="2"/>
    </row>
    <row r="113" spans="1:12" ht="47.25" x14ac:dyDescent="0.25">
      <c r="A113" s="9" t="s">
        <v>26</v>
      </c>
      <c r="B113" s="5"/>
      <c r="C113" s="4"/>
      <c r="D113" s="15" t="s">
        <v>28</v>
      </c>
      <c r="E113" s="42" t="s">
        <v>143</v>
      </c>
      <c r="F113" s="42" t="s">
        <v>143</v>
      </c>
      <c r="G113" s="14" t="s">
        <v>55</v>
      </c>
      <c r="H113" s="42" t="s">
        <v>143</v>
      </c>
      <c r="I113" s="42" t="s">
        <v>143</v>
      </c>
      <c r="J113" s="5"/>
      <c r="L113" s="2"/>
    </row>
    <row r="114" spans="1:12" ht="31.5" x14ac:dyDescent="0.25">
      <c r="A114" s="9" t="s">
        <v>27</v>
      </c>
      <c r="B114" s="5"/>
      <c r="C114" s="4"/>
      <c r="D114" s="15" t="s">
        <v>75</v>
      </c>
      <c r="E114" s="42" t="s">
        <v>143</v>
      </c>
      <c r="F114" s="42" t="s">
        <v>143</v>
      </c>
      <c r="G114" s="14" t="s">
        <v>55</v>
      </c>
      <c r="H114" s="42" t="s">
        <v>143</v>
      </c>
      <c r="I114" s="42" t="s">
        <v>143</v>
      </c>
      <c r="J114" s="5"/>
      <c r="L114" s="2"/>
    </row>
    <row r="115" spans="1:12" ht="18.75" x14ac:dyDescent="0.3">
      <c r="A115" s="70" t="s">
        <v>85</v>
      </c>
      <c r="B115" s="71"/>
      <c r="C115" s="71"/>
      <c r="D115" s="71"/>
      <c r="E115" s="71"/>
      <c r="F115" s="71"/>
      <c r="G115" s="72"/>
      <c r="H115" s="2"/>
      <c r="I115" s="50">
        <f>SUM(I111:I114)</f>
        <v>10140</v>
      </c>
      <c r="J115" s="2"/>
      <c r="K115" s="2"/>
      <c r="L115" s="2"/>
    </row>
    <row r="116" spans="1:12" ht="48" x14ac:dyDescent="0.3">
      <c r="A116" s="6" t="s">
        <v>67</v>
      </c>
      <c r="B116" s="6"/>
      <c r="C116" s="4"/>
      <c r="D116" s="15" t="s">
        <v>86</v>
      </c>
      <c r="E116" s="42" t="s">
        <v>143</v>
      </c>
      <c r="F116" s="42" t="s">
        <v>143</v>
      </c>
      <c r="G116" s="13" t="s">
        <v>30</v>
      </c>
      <c r="H116" s="42" t="s">
        <v>143</v>
      </c>
      <c r="I116" s="42" t="s">
        <v>143</v>
      </c>
      <c r="J116" s="5"/>
      <c r="L116" s="2"/>
    </row>
    <row r="117" spans="1:12" ht="32.25" x14ac:dyDescent="0.3">
      <c r="A117" s="28"/>
      <c r="B117" s="29"/>
      <c r="C117" s="22"/>
      <c r="D117" s="30" t="s">
        <v>111</v>
      </c>
      <c r="E117" s="42" t="s">
        <v>143</v>
      </c>
      <c r="F117" s="42" t="s">
        <v>143</v>
      </c>
      <c r="G117" s="13" t="s">
        <v>112</v>
      </c>
      <c r="H117" s="42" t="s">
        <v>143</v>
      </c>
      <c r="I117" s="42" t="s">
        <v>143</v>
      </c>
      <c r="J117" s="39"/>
      <c r="L117" s="2"/>
    </row>
    <row r="118" spans="1:12" ht="18.75" x14ac:dyDescent="0.3">
      <c r="A118" s="28"/>
      <c r="B118" s="29"/>
      <c r="C118" s="22"/>
      <c r="D118" s="30"/>
      <c r="E118" s="54"/>
      <c r="F118" s="54"/>
      <c r="G118" s="31"/>
      <c r="H118" s="54"/>
      <c r="I118" s="54"/>
      <c r="J118" s="55"/>
      <c r="L118" s="2"/>
    </row>
    <row r="119" spans="1:12" ht="18.75" x14ac:dyDescent="0.3">
      <c r="A119" s="70" t="s">
        <v>100</v>
      </c>
      <c r="B119" s="71"/>
      <c r="C119" s="71"/>
      <c r="D119" s="71"/>
      <c r="E119" s="71"/>
      <c r="F119" s="71"/>
      <c r="G119" s="72"/>
      <c r="H119" s="70"/>
      <c r="I119" s="71"/>
      <c r="J119" s="71"/>
      <c r="L119" s="2"/>
    </row>
    <row r="120" spans="1:12" ht="32.25" x14ac:dyDescent="0.3">
      <c r="A120" s="34" t="s">
        <v>152</v>
      </c>
      <c r="B120" s="24"/>
      <c r="C120" s="24"/>
      <c r="D120" s="41" t="s">
        <v>137</v>
      </c>
      <c r="E120" s="13"/>
      <c r="F120" s="13">
        <f>1+1</f>
        <v>2</v>
      </c>
      <c r="G120" s="13" t="s">
        <v>138</v>
      </c>
      <c r="H120" s="13">
        <v>800</v>
      </c>
      <c r="I120" s="62">
        <f t="shared" ref="I120:I122" si="4">F120*H120</f>
        <v>1600</v>
      </c>
      <c r="J120" s="13" t="s">
        <v>126</v>
      </c>
      <c r="L120" s="2"/>
    </row>
    <row r="121" spans="1:12" ht="48" x14ac:dyDescent="0.3">
      <c r="A121" s="24"/>
      <c r="B121" s="24"/>
      <c r="C121" s="24"/>
      <c r="D121" s="41" t="s">
        <v>139</v>
      </c>
      <c r="E121" s="42"/>
      <c r="F121" s="42">
        <f>120</f>
        <v>120</v>
      </c>
      <c r="G121" s="13" t="s">
        <v>140</v>
      </c>
      <c r="H121" s="42">
        <v>650</v>
      </c>
      <c r="I121" s="63">
        <f>F121*H121</f>
        <v>78000</v>
      </c>
      <c r="J121" s="13" t="s">
        <v>126</v>
      </c>
      <c r="L121" s="2"/>
    </row>
    <row r="122" spans="1:12" ht="32.25" x14ac:dyDescent="0.3">
      <c r="A122" s="24"/>
      <c r="B122" s="24"/>
      <c r="C122" s="24"/>
      <c r="D122" s="41" t="s">
        <v>173</v>
      </c>
      <c r="E122" s="13"/>
      <c r="F122" s="13">
        <f>360+240+120+240</f>
        <v>960</v>
      </c>
      <c r="G122" s="13" t="s">
        <v>141</v>
      </c>
      <c r="H122" s="33">
        <f>(600*50+120*34.38+240*45.83)/F122</f>
        <v>47.004999999999995</v>
      </c>
      <c r="I122" s="67">
        <f t="shared" si="4"/>
        <v>45124.799999999996</v>
      </c>
      <c r="J122" s="13" t="s">
        <v>126</v>
      </c>
      <c r="L122" s="2"/>
    </row>
    <row r="123" spans="1:12" ht="32.25" x14ac:dyDescent="0.3">
      <c r="A123" s="24"/>
      <c r="B123" s="24"/>
      <c r="C123" s="24"/>
      <c r="D123" s="41" t="s">
        <v>174</v>
      </c>
      <c r="E123" s="13"/>
      <c r="F123" s="13">
        <f>120+90+300+90+300</f>
        <v>900</v>
      </c>
      <c r="G123" s="13" t="s">
        <v>141</v>
      </c>
      <c r="H123" s="33">
        <f>38000/F123</f>
        <v>42.222222222222221</v>
      </c>
      <c r="I123" s="62">
        <f>F123*H123+5.6</f>
        <v>38005.599999999999</v>
      </c>
      <c r="J123" s="13" t="s">
        <v>126</v>
      </c>
      <c r="L123" s="2"/>
    </row>
    <row r="124" spans="1:12" ht="18.75" x14ac:dyDescent="0.3">
      <c r="A124" s="24"/>
      <c r="B124" s="24"/>
      <c r="C124" s="24"/>
      <c r="D124" s="41" t="s">
        <v>192</v>
      </c>
      <c r="E124" s="13"/>
      <c r="F124" s="13">
        <v>6</v>
      </c>
      <c r="G124" s="13" t="s">
        <v>115</v>
      </c>
      <c r="H124" s="33">
        <f>12130.2/F124</f>
        <v>2021.7</v>
      </c>
      <c r="I124" s="62">
        <f>F124*H124</f>
        <v>12130.2</v>
      </c>
      <c r="J124" s="13" t="s">
        <v>123</v>
      </c>
      <c r="L124" s="2"/>
    </row>
    <row r="125" spans="1:12" ht="18.75" x14ac:dyDescent="0.3">
      <c r="A125" s="34" t="s">
        <v>160</v>
      </c>
      <c r="B125" s="24"/>
      <c r="C125" s="24"/>
      <c r="D125" s="41" t="s">
        <v>159</v>
      </c>
      <c r="E125" s="13"/>
      <c r="F125" s="13">
        <f>2+2+2+2+2+2+2+2+2+2+2+2</f>
        <v>24</v>
      </c>
      <c r="G125" s="13" t="s">
        <v>31</v>
      </c>
      <c r="H125" s="13">
        <f>(3591+3591+3591+3591+3591+3591+3591+3591+3591+3591+3591+3591)/F125</f>
        <v>1795.5</v>
      </c>
      <c r="I125" s="59">
        <f t="shared" ref="I125:I129" si="5">F125*H125</f>
        <v>43092</v>
      </c>
      <c r="J125" s="13" t="s">
        <v>123</v>
      </c>
      <c r="L125" s="2"/>
    </row>
    <row r="126" spans="1:12" ht="18.75" x14ac:dyDescent="0.3">
      <c r="A126" s="24"/>
      <c r="B126" s="24"/>
      <c r="C126" s="24"/>
      <c r="D126" s="41" t="s">
        <v>161</v>
      </c>
      <c r="E126" s="13"/>
      <c r="F126" s="13">
        <f>1+1+1+1+1+1+1+1+1+1+1+1</f>
        <v>12</v>
      </c>
      <c r="G126" s="38" t="s">
        <v>31</v>
      </c>
      <c r="H126" s="33">
        <f>(6200+6200+6200+6200+6200+6200+6200+6200+6200+6200+6200+6200)/F126</f>
        <v>6200</v>
      </c>
      <c r="I126" s="59">
        <f t="shared" si="5"/>
        <v>74400</v>
      </c>
      <c r="J126" s="13" t="s">
        <v>123</v>
      </c>
      <c r="L126" s="2"/>
    </row>
    <row r="127" spans="1:12" ht="18.75" x14ac:dyDescent="0.3">
      <c r="A127" s="24"/>
      <c r="B127" s="24"/>
      <c r="C127" s="24"/>
      <c r="D127" s="41" t="s">
        <v>164</v>
      </c>
      <c r="E127" s="13"/>
      <c r="F127" s="13">
        <f>4</f>
        <v>4</v>
      </c>
      <c r="G127" s="38" t="s">
        <v>31</v>
      </c>
      <c r="H127" s="13">
        <f>(3878.4+3249.6)/F127</f>
        <v>1782</v>
      </c>
      <c r="I127" s="59">
        <f>F127*H127</f>
        <v>7128</v>
      </c>
      <c r="J127" s="13" t="s">
        <v>123</v>
      </c>
      <c r="L127" s="2"/>
    </row>
    <row r="128" spans="1:12" ht="18.75" x14ac:dyDescent="0.3">
      <c r="A128" s="24"/>
      <c r="B128" s="24"/>
      <c r="C128" s="24"/>
      <c r="D128" s="41" t="s">
        <v>186</v>
      </c>
      <c r="E128" s="13"/>
      <c r="F128" s="13">
        <f>1</f>
        <v>1</v>
      </c>
      <c r="G128" s="38" t="s">
        <v>31</v>
      </c>
      <c r="H128" s="13">
        <f>6200</f>
        <v>6200</v>
      </c>
      <c r="I128" s="59">
        <f>F128*H128</f>
        <v>6200</v>
      </c>
      <c r="J128" s="13" t="s">
        <v>120</v>
      </c>
      <c r="L128" s="2"/>
    </row>
    <row r="129" spans="1:12" ht="18.75" x14ac:dyDescent="0.3">
      <c r="A129" s="34" t="s">
        <v>152</v>
      </c>
      <c r="B129" s="14"/>
      <c r="C129" s="14"/>
      <c r="D129" s="40" t="s">
        <v>177</v>
      </c>
      <c r="E129" s="14"/>
      <c r="F129" s="14">
        <v>4</v>
      </c>
      <c r="G129" s="14" t="s">
        <v>31</v>
      </c>
      <c r="H129" s="14">
        <f>23950/F129</f>
        <v>5987.5</v>
      </c>
      <c r="I129" s="64">
        <f t="shared" si="5"/>
        <v>23950</v>
      </c>
      <c r="J129" s="14" t="s">
        <v>124</v>
      </c>
      <c r="L129" s="2"/>
    </row>
    <row r="130" spans="1:12" ht="63" x14ac:dyDescent="0.3">
      <c r="A130" s="34" t="s">
        <v>153</v>
      </c>
      <c r="B130" s="14"/>
      <c r="C130" s="14"/>
      <c r="D130" s="44" t="s">
        <v>207</v>
      </c>
      <c r="E130" s="14"/>
      <c r="F130" s="14">
        <f>14.24</f>
        <v>14.24</v>
      </c>
      <c r="G130" s="14" t="s">
        <v>115</v>
      </c>
      <c r="H130" s="66">
        <f>3318.4/F130</f>
        <v>233.03370786516854</v>
      </c>
      <c r="I130" s="64">
        <f>F130*H130</f>
        <v>3318.4</v>
      </c>
      <c r="J130" s="14" t="s">
        <v>123</v>
      </c>
      <c r="L130" s="2"/>
    </row>
    <row r="131" spans="1:12" ht="18.75" x14ac:dyDescent="0.3">
      <c r="A131" s="34"/>
      <c r="B131" s="14"/>
      <c r="C131" s="14"/>
      <c r="D131" s="44"/>
      <c r="E131" s="14"/>
      <c r="F131" s="14"/>
      <c r="G131" s="14"/>
      <c r="H131" s="66"/>
      <c r="I131" s="80">
        <f>SUM(I120:I130)</f>
        <v>332949</v>
      </c>
      <c r="J131" s="14"/>
      <c r="L131" s="2"/>
    </row>
    <row r="132" spans="1:12" ht="15.75" x14ac:dyDescent="0.25">
      <c r="A132" s="52" t="s">
        <v>210</v>
      </c>
      <c r="B132" s="25"/>
      <c r="C132" s="25"/>
      <c r="D132" s="44"/>
      <c r="E132" s="13"/>
      <c r="F132" s="13"/>
      <c r="G132" s="38"/>
      <c r="H132" s="13"/>
      <c r="I132" s="57">
        <f>I24+I34+I37+I38+I39+I40+I43+I44+I45+I46+I48+I49+I52+I55+I58+I63+I64+I65+I67+I69+I74+I82+I83+I84+I86+I94+I96+I97+I98+I99+I100+I101+I102+I120+I121+I122+I123+I124+I125+I126+I127+I128+I129+I130</f>
        <v>1840194.6000000006</v>
      </c>
      <c r="J132" s="14"/>
      <c r="K132" s="2"/>
      <c r="L132" s="2"/>
    </row>
    <row r="133" spans="1:12" ht="15.75" x14ac:dyDescent="0.25">
      <c r="A133" s="52" t="s">
        <v>171</v>
      </c>
      <c r="B133" s="25"/>
      <c r="C133" s="25"/>
      <c r="D133" s="5"/>
      <c r="E133" s="5"/>
      <c r="F133" s="25"/>
      <c r="G133" s="25"/>
      <c r="H133" s="25"/>
      <c r="I133" s="53">
        <f>I32+I56+I70+I78+I87+I92+I107+I110+I115+I131</f>
        <v>2315467.5999999996</v>
      </c>
      <c r="J133" s="25"/>
      <c r="K133" s="2"/>
      <c r="L133" s="2"/>
    </row>
    <row r="134" spans="1:12" ht="15.75" x14ac:dyDescent="0.25">
      <c r="A134" s="2"/>
      <c r="B134" s="2"/>
      <c r="C134" s="2"/>
      <c r="D134" s="16"/>
      <c r="E134" s="16"/>
      <c r="F134" s="2"/>
      <c r="G134" s="2"/>
      <c r="H134" s="2"/>
      <c r="I134" s="2"/>
      <c r="J134" s="2"/>
      <c r="K134" s="2"/>
      <c r="L134" s="2"/>
    </row>
    <row r="135" spans="1:12" ht="15.75" x14ac:dyDescent="0.25">
      <c r="A135" s="2"/>
      <c r="B135" s="2"/>
      <c r="C135" s="2"/>
      <c r="D135" s="16"/>
      <c r="E135" s="16"/>
      <c r="F135" s="2"/>
      <c r="G135" s="2"/>
      <c r="H135" s="2"/>
      <c r="I135" s="2"/>
      <c r="J135" s="2"/>
      <c r="K135" s="2"/>
      <c r="L135" s="2"/>
    </row>
    <row r="136" spans="1:12" ht="15.75" x14ac:dyDescent="0.25">
      <c r="A136" s="2"/>
      <c r="B136" s="2"/>
      <c r="C136" s="2"/>
      <c r="D136" s="16"/>
      <c r="E136" s="16"/>
      <c r="F136" s="2"/>
      <c r="G136" s="2"/>
      <c r="H136" s="2"/>
      <c r="I136" s="2"/>
      <c r="J136" s="2"/>
      <c r="K136" s="2"/>
      <c r="L136" s="2"/>
    </row>
    <row r="137" spans="1:12" ht="15.75" x14ac:dyDescent="0.25">
      <c r="A137" s="2"/>
      <c r="B137" s="2"/>
      <c r="C137" s="2"/>
      <c r="D137" s="16"/>
      <c r="E137" s="16"/>
      <c r="F137" s="2"/>
      <c r="G137" s="2"/>
      <c r="H137" s="2"/>
      <c r="I137" s="2"/>
      <c r="J137" s="2"/>
      <c r="K137" s="2"/>
      <c r="L137" s="2"/>
    </row>
    <row r="138" spans="1:12" ht="15.75" x14ac:dyDescent="0.25">
      <c r="A138" s="2"/>
      <c r="B138" s="2"/>
      <c r="C138" s="2"/>
      <c r="D138" s="16"/>
      <c r="E138" s="16"/>
      <c r="F138" s="2"/>
      <c r="G138" s="2"/>
      <c r="H138" s="2"/>
      <c r="I138" s="2"/>
      <c r="J138" s="2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65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65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</sheetData>
  <mergeCells count="15">
    <mergeCell ref="A2:J2"/>
    <mergeCell ref="A119:G119"/>
    <mergeCell ref="H119:J119"/>
    <mergeCell ref="I1:J1"/>
    <mergeCell ref="A78:G78"/>
    <mergeCell ref="A92:G92"/>
    <mergeCell ref="A115:G115"/>
    <mergeCell ref="A32:G32"/>
    <mergeCell ref="A15:G15"/>
    <mergeCell ref="A4:G4"/>
    <mergeCell ref="A107:G107"/>
    <mergeCell ref="A56:G56"/>
    <mergeCell ref="A70:G70"/>
    <mergeCell ref="A87:G87"/>
    <mergeCell ref="A110:G110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2024-03-06T11:49:10Z</dcterms:modified>
</cp:coreProperties>
</file>