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207" i="1" l="1"/>
  <c r="I177" i="1"/>
  <c r="I158" i="1"/>
  <c r="I148" i="1"/>
  <c r="I127" i="1"/>
  <c r="I109" i="1"/>
  <c r="I77" i="1"/>
  <c r="I37" i="1"/>
  <c r="I205" i="1"/>
  <c r="F111" i="1" l="1"/>
  <c r="H111" i="1" s="1"/>
  <c r="F129" i="1"/>
  <c r="H129" i="1" s="1"/>
  <c r="I111" i="1" l="1"/>
  <c r="I129" i="1"/>
  <c r="H194" i="1"/>
  <c r="F194" i="1"/>
  <c r="H196" i="1"/>
  <c r="F196" i="1"/>
  <c r="H195" i="1"/>
  <c r="F195" i="1"/>
  <c r="H150" i="1"/>
  <c r="F150" i="1"/>
  <c r="H176" i="1"/>
  <c r="F176" i="1"/>
  <c r="H82" i="1"/>
  <c r="H30" i="1"/>
  <c r="F30" i="1"/>
  <c r="H204" i="1"/>
  <c r="F204" i="1"/>
  <c r="H151" i="1"/>
  <c r="F151" i="1"/>
  <c r="H95" i="1"/>
  <c r="F95" i="1"/>
  <c r="H100" i="1"/>
  <c r="F100" i="1"/>
  <c r="H152" i="1"/>
  <c r="F152" i="1"/>
  <c r="H46" i="1"/>
  <c r="F46" i="1"/>
  <c r="H120" i="1"/>
  <c r="F120" i="1"/>
  <c r="H124" i="1"/>
  <c r="F124" i="1"/>
  <c r="H108" i="1"/>
  <c r="H175" i="1"/>
  <c r="H173" i="1"/>
  <c r="F173" i="1"/>
  <c r="H48" i="1"/>
  <c r="H21" i="1"/>
  <c r="F21" i="1"/>
  <c r="H116" i="1"/>
  <c r="F116" i="1"/>
  <c r="H115" i="1"/>
  <c r="F115" i="1"/>
  <c r="H114" i="1"/>
  <c r="F114" i="1"/>
  <c r="H39" i="1"/>
  <c r="F39" i="1"/>
  <c r="H154" i="1"/>
  <c r="F154" i="1"/>
  <c r="H203" i="1"/>
  <c r="H202" i="1"/>
  <c r="H113" i="1"/>
  <c r="F113" i="1"/>
  <c r="H96" i="1"/>
  <c r="F96" i="1"/>
  <c r="H97" i="1"/>
  <c r="F97" i="1"/>
  <c r="H19" i="1"/>
  <c r="F19" i="1"/>
  <c r="H20" i="1"/>
  <c r="F20" i="1"/>
  <c r="H201" i="1"/>
  <c r="H139" i="1"/>
  <c r="F139" i="1"/>
  <c r="H104" i="1"/>
  <c r="F104" i="1"/>
  <c r="H103" i="1"/>
  <c r="F103" i="1"/>
  <c r="H105" i="1"/>
  <c r="F105" i="1"/>
  <c r="I47" i="1" l="1"/>
  <c r="H47" i="1"/>
  <c r="H28" i="1"/>
  <c r="F28" i="1"/>
  <c r="H171" i="1"/>
  <c r="H55" i="1"/>
  <c r="H200" i="1"/>
  <c r="F200" i="1"/>
  <c r="H199" i="1"/>
  <c r="F199" i="1"/>
  <c r="H51" i="1"/>
  <c r="F51" i="1"/>
  <c r="H45" i="1"/>
  <c r="F45" i="1"/>
  <c r="H58" i="1"/>
  <c r="F58" i="1"/>
  <c r="H66" i="1"/>
  <c r="F66" i="1"/>
  <c r="H168" i="1"/>
  <c r="F168" i="1"/>
  <c r="F171" i="1"/>
  <c r="H170" i="1"/>
  <c r="F170" i="1"/>
  <c r="H198" i="1"/>
  <c r="H164" i="1"/>
  <c r="F164" i="1"/>
  <c r="H81" i="1"/>
  <c r="F81" i="1"/>
  <c r="H80" i="1"/>
  <c r="F80" i="1"/>
  <c r="H64" i="1"/>
  <c r="H63" i="1"/>
  <c r="F63" i="1"/>
  <c r="H43" i="1"/>
  <c r="F43" i="1"/>
  <c r="H62" i="1"/>
  <c r="F62" i="1"/>
  <c r="H61" i="1"/>
  <c r="F61" i="1"/>
  <c r="H57" i="1"/>
  <c r="F57" i="1"/>
  <c r="H56" i="1"/>
  <c r="F56" i="1"/>
  <c r="F55" i="1"/>
  <c r="H72" i="1"/>
  <c r="F72" i="1"/>
  <c r="H71" i="1"/>
  <c r="F71" i="1"/>
  <c r="H54" i="1"/>
  <c r="F54" i="1"/>
  <c r="H53" i="1"/>
  <c r="F53" i="1"/>
  <c r="H70" i="1"/>
  <c r="F70" i="1"/>
  <c r="H42" i="1"/>
  <c r="F42" i="1"/>
  <c r="H119" i="1"/>
  <c r="F119" i="1"/>
  <c r="H118" i="1"/>
  <c r="F118" i="1"/>
  <c r="H117" i="1"/>
  <c r="F117" i="1"/>
  <c r="H121" i="1"/>
  <c r="F121" i="1"/>
  <c r="H145" i="1"/>
  <c r="F145" i="1"/>
  <c r="H197" i="1"/>
  <c r="F197" i="1"/>
  <c r="H59" i="1"/>
  <c r="F59" i="1"/>
  <c r="H73" i="1"/>
  <c r="F73" i="1"/>
  <c r="H41" i="1"/>
  <c r="F41" i="1"/>
  <c r="H40" i="1"/>
  <c r="F40" i="1"/>
  <c r="H169" i="1"/>
  <c r="F169" i="1"/>
  <c r="H146" i="1"/>
  <c r="F146" i="1"/>
  <c r="H162" i="1"/>
  <c r="F162" i="1"/>
  <c r="H74" i="1"/>
  <c r="F74" i="1"/>
  <c r="H193" i="1"/>
  <c r="F193" i="1"/>
  <c r="H44" i="1"/>
  <c r="F44" i="1"/>
  <c r="I113" i="1" l="1"/>
  <c r="I108" i="1" l="1"/>
  <c r="I120" i="1" l="1"/>
  <c r="I46" i="1"/>
  <c r="I48" i="1"/>
  <c r="I39" i="1"/>
  <c r="I203" i="1" l="1"/>
  <c r="I151" i="1"/>
  <c r="H94" i="1"/>
  <c r="I94" i="1"/>
  <c r="I202" i="1" l="1"/>
  <c r="I96" i="1"/>
  <c r="I20" i="1"/>
  <c r="I201" i="1"/>
  <c r="I103" i="1"/>
  <c r="I105" i="1"/>
  <c r="I104" i="1" l="1"/>
  <c r="I19" i="1"/>
  <c r="I200" i="1"/>
  <c r="I199" i="1"/>
  <c r="I51" i="1" l="1"/>
  <c r="I58" i="1"/>
  <c r="I170" i="1" l="1"/>
  <c r="I198" i="1"/>
  <c r="I63" i="1"/>
  <c r="I61" i="1"/>
  <c r="I57" i="1"/>
  <c r="I72" i="1"/>
  <c r="I54" i="1"/>
  <c r="I70" i="1"/>
  <c r="I42" i="1"/>
  <c r="I121" i="1"/>
  <c r="I95" i="1"/>
  <c r="F84" i="1"/>
  <c r="H84" i="1" s="1"/>
  <c r="F83" i="1"/>
  <c r="H83" i="1" s="1"/>
  <c r="I73" i="1"/>
  <c r="I50" i="1"/>
  <c r="I41" i="1"/>
  <c r="I40" i="1"/>
  <c r="I162" i="1"/>
  <c r="I139" i="1"/>
  <c r="I74" i="1" l="1"/>
  <c r="I59" i="1"/>
  <c r="I100" i="1"/>
  <c r="I145" i="1"/>
  <c r="I71" i="1"/>
  <c r="I56" i="1"/>
  <c r="I62" i="1"/>
  <c r="I43" i="1"/>
  <c r="I164" i="1"/>
  <c r="I118" i="1"/>
  <c r="I66" i="1"/>
  <c r="I81" i="1"/>
  <c r="I80" i="1"/>
  <c r="I64" i="1"/>
  <c r="I55" i="1"/>
  <c r="I53" i="1"/>
  <c r="I117" i="1"/>
  <c r="I119" i="1"/>
  <c r="I169" i="1"/>
  <c r="I146" i="1"/>
  <c r="I194" i="1"/>
  <c r="F82" i="1"/>
  <c r="I193" i="1"/>
  <c r="I196" i="1" l="1"/>
  <c r="I195" i="1"/>
  <c r="I206" i="1" l="1"/>
  <c r="I30" i="1"/>
  <c r="I21" i="1"/>
  <c r="I44" i="1"/>
  <c r="I168" i="1"/>
  <c r="I45" i="1"/>
  <c r="I97" i="1"/>
  <c r="I49" i="1"/>
  <c r="I152" i="1"/>
  <c r="I150" i="1"/>
  <c r="I175" i="1"/>
  <c r="I171" i="1"/>
  <c r="I15" i="1" l="1"/>
  <c r="I197" i="1"/>
  <c r="I204" i="1"/>
  <c r="I28" i="1"/>
  <c r="I116" i="1"/>
  <c r="I115" i="1"/>
  <c r="I114" i="1"/>
  <c r="I124" i="1"/>
  <c r="I176" i="1" l="1"/>
  <c r="I190" i="1"/>
  <c r="I191" i="1" s="1"/>
  <c r="I154" i="1"/>
  <c r="I82" i="1" l="1"/>
  <c r="I84" i="1" l="1"/>
  <c r="I83" i="1"/>
  <c r="I173" i="1"/>
  <c r="I183" i="1" l="1"/>
  <c r="I187" i="1" s="1"/>
  <c r="I180" i="1"/>
  <c r="I181" i="1" s="1"/>
</calcChain>
</file>

<file path=xl/sharedStrings.xml><?xml version="1.0" encoding="utf-8"?>
<sst xmlns="http://schemas.openxmlformats.org/spreadsheetml/2006/main" count="762" uniqueCount="273">
  <si>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</si>
  <si>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</si>
  <si>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</si>
  <si>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</si>
  <si>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</si>
  <si>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</si>
  <si>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</si>
  <si>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</si>
  <si>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</si>
  <si>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</si>
  <si>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</si>
  <si>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</si>
  <si>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</si>
  <si>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</si>
  <si>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</si>
  <si>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</si>
  <si>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</si>
  <si>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</si>
  <si>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</si>
  <si>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</si>
  <si>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</si>
  <si>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</si>
  <si>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</si>
  <si>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</si>
  <si>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</si>
  <si>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</si>
  <si>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</si>
  <si>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</si>
  <si>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</si>
  <si>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</si>
  <si>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</si>
  <si>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</si>
  <si>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</si>
  <si>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</si>
  <si>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</si>
  <si>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</si>
  <si>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</si>
  <si>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</si>
  <si>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</si>
  <si>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</si>
  <si>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</si>
  <si>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</si>
  <si>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</si>
  <si>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</si>
  <si>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</si>
  <si>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</si>
  <si>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</si>
  <si>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</si>
  <si>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</si>
  <si>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</si>
  <si>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</si>
  <si>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</si>
  <si>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</si>
  <si>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</si>
  <si>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</si>
  <si>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</si>
  <si>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</si>
  <si>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</si>
  <si>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</si>
  <si>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</si>
  <si>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</si>
  <si>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</si>
  <si>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</si>
  <si>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</si>
  <si>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</si>
  <si>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</si>
  <si>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</si>
  <si>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</si>
  <si>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</si>
  <si>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</si>
  <si>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</si>
  <si>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</si>
  <si>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</si>
  <si>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</si>
  <si>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</si>
  <si>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</si>
  <si>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</si>
  <si>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</si>
  <si>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</si>
  <si>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</si>
  <si>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</si>
  <si>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</si>
  <si>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</si>
  <si>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</si>
  <si>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</si>
  <si>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</si>
  <si>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</si>
  <si>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</si>
  <si>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</si>
  <si>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</si>
  <si>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</si>
  <si>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</si>
  <si>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</si>
  <si>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</si>
  <si>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</si>
  <si>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</si>
  <si>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</si>
  <si>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</si>
  <si>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</si>
  <si>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</si>
  <si>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</si>
  <si>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</si>
  <si>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</si>
  <si>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</si>
  <si>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</si>
  <si>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</si>
  <si>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</si>
  <si>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</si>
  <si>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</si>
  <si>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</si>
  <si>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</si>
  <si>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</si>
  <si>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</si>
  <si>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</si>
  <si>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</si>
  <si>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</si>
  <si>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</si>
  <si>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</si>
  <si>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</si>
  <si>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</si>
  <si>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</si>
  <si>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</si>
  <si>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</si>
  <si>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</si>
  <si>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</si>
  <si>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</si>
  <si>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</si>
  <si>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</si>
  <si>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</si>
  <si>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</si>
  <si>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</si>
  <si>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</si>
  <si>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</si>
  <si>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</si>
  <si>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</si>
  <si>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</si>
  <si>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</si>
  <si>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</si>
  <si>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</si>
  <si>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</si>
  <si>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</si>
  <si>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</si>
  <si>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</si>
  <si>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</si>
  <si>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</si>
  <si>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</si>
  <si>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</si>
  <si>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</si>
  <si>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</si>
  <si>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</si>
  <si>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</si>
  <si>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</si>
  <si>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</si>
  <si>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</si>
  <si>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</si>
  <si>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</si>
  <si>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</si>
  <si>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</si>
  <si>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</si>
  <si>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</si>
  <si>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</si>
  <si>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</si>
  <si>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</si>
  <si>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</si>
  <si>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</si>
  <si>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</si>
  <si>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</si>
  <si>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</si>
  <si>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</si>
  <si>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</si>
  <si>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</si>
  <si>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</si>
  <si>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</si>
  <si>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</si>
  <si>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</si>
  <si>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</si>
  <si>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</si>
  <si>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</si>
  <si>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</si>
  <si>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</si>
  <si>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</si>
  <si>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</si>
  <si>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</si>
  <si>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</si>
  <si>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</si>
  <si>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</si>
  <si>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</si>
  <si>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</si>
  <si>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</si>
  <si>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</si>
  <si>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</si>
  <si>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</si>
  <si>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</si>
  <si>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</si>
  <si>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</si>
  <si>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</si>
  <si>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</si>
  <si>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</si>
  <si>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установка насосов погружных</t>
  </si>
  <si>
    <t xml:space="preserve"> смена кранов на шаровые краны диам.32мм</t>
  </si>
  <si>
    <t>установка фильтра диам. 80мм</t>
  </si>
  <si>
    <t>смена шарового крана смывного бачка</t>
  </si>
  <si>
    <t>регулировка смывного бачка</t>
  </si>
  <si>
    <t>установка информационного щита</t>
  </si>
  <si>
    <t>ремонт бетонных ступеней</t>
  </si>
  <si>
    <t>смена электросчетчиков</t>
  </si>
  <si>
    <t>установка коробок распаечных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</si>
  <si>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</si>
  <si>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ул.Заречная, дом 9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</si>
  <si>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</si>
  <si>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</si>
  <si>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смена керамических коврово-мозаичных плиток в полах до 10шт</t>
  </si>
  <si>
    <t>смена фотореле</t>
  </si>
  <si>
    <t>коробов пластмассовые шириной до 40мм</t>
  </si>
  <si>
    <t>коробов пластмассовые шириной до 63мм</t>
  </si>
  <si>
    <t>установка дверных доводчиков</t>
  </si>
  <si>
    <t>ремонт дверных полотен со сменой брусков обвязки горизонтальных на 2 сопряжения верхних</t>
  </si>
  <si>
    <t>установка и крепление наличников</t>
  </si>
  <si>
    <t>м.п.</t>
  </si>
  <si>
    <t>смена оконных приборов ручки</t>
  </si>
  <si>
    <t>заделка выбоин в полах цементных площадью до 0,25м2</t>
  </si>
  <si>
    <t>мест</t>
  </si>
  <si>
    <t>заделка трещин в кирпичных стенах цементным раствором</t>
  </si>
  <si>
    <t>смена дверных приборов:замки врезные</t>
  </si>
  <si>
    <t>простая масляная окраска ранее окрашенных скамеек</t>
  </si>
  <si>
    <t xml:space="preserve"> смена кранов на шаровые краны диам.15,32мм</t>
  </si>
  <si>
    <t>установка клапанов обратных диам.32мм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</si>
  <si>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</si>
  <si>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диам.40мм</t>
  </si>
  <si>
    <t>прокладка внутренних трубпроводов водоснабжения и отопления из полипропиленовых труб:диам. 40мм</t>
  </si>
  <si>
    <t>окраска масляными составами ранее окрашенных больших металлических поверхностей(кроме крыш) за 2 раза</t>
  </si>
  <si>
    <t>ремонт штукатурки потолков по камню и бетону раствором</t>
  </si>
  <si>
    <t>ремонт штукатурки внутренних стен по камню и бетону раствором</t>
  </si>
  <si>
    <t>ремонт штукатурки внутри здания откосов по камню и бетону раствором</t>
  </si>
  <si>
    <t xml:space="preserve">очистка вручную поверхности потолков от красок </t>
  </si>
  <si>
    <t>окраска водно-дисперсионными акриловыми составами улучшенная по штукатурке потолков</t>
  </si>
  <si>
    <t xml:space="preserve">очистка вручную поверхности стен от красок </t>
  </si>
  <si>
    <t>окраска водно-дисперсионными акриловыми составами улучшенная по штукатурке стен</t>
  </si>
  <si>
    <t>улучшенная масляная окраска ранее окрашенных стен за 2 раза с расчисткой старой краски до 10%(сапожок)</t>
  </si>
  <si>
    <t>ремонт металлических решеток ограждений</t>
  </si>
  <si>
    <t>укрепление стоек металлических решеток ограждений</t>
  </si>
  <si>
    <t>окраска масляными составами ранее окрашенных металлических решеток и оград без рельефа за 2 раза</t>
  </si>
  <si>
    <t>простая масляная окраска ранее окрашенных стен(торцы лестничных маршей)</t>
  </si>
  <si>
    <t>окраска масляными составами ранее окрашенных поверхностей труб стальных за 2 раза</t>
  </si>
  <si>
    <t>окраска масляными составами ранее окрашенных поверхностей радиаторов и ребристых труб за 2 раза</t>
  </si>
  <si>
    <t>окраска масляными составами ранее окрашенных больших металлических поверхностей(кроме крыш) за 2 раза(электрические щитки)</t>
  </si>
  <si>
    <t>т</t>
  </si>
  <si>
    <t>погрузка и вывоз мусора после ремонта подъезда</t>
  </si>
  <si>
    <t xml:space="preserve">демонтаж светильников </t>
  </si>
  <si>
    <t>монтаж светильников со светодиодными лампами</t>
  </si>
  <si>
    <t>окраска металлических деталей мусоропроводов в 9-ти этажном здании с пятью клапанами</t>
  </si>
  <si>
    <t>улучшеннная масляная окраска ранееокрашенных стен за 2 раза(откосы оконные)</t>
  </si>
  <si>
    <t>экпертно-консультационные услуги по проверке правильности составления сметной документации на ремонт подъездов многоквартирного жилого дома</t>
  </si>
  <si>
    <t xml:space="preserve">оказание услуг по осуществлению строительного контроля </t>
  </si>
  <si>
    <t>смена задвижек диам 100мм на шаровые краны</t>
  </si>
  <si>
    <t>демонтаж фильтров диаметром 50мм</t>
  </si>
  <si>
    <t>установка фильтров диаметром 50мм</t>
  </si>
  <si>
    <t>справка о техническом состоянии здания</t>
  </si>
  <si>
    <t>установка шайб</t>
  </si>
  <si>
    <t>рытье ям под установку урн</t>
  </si>
  <si>
    <t>установка с бетонированием урн</t>
  </si>
  <si>
    <t xml:space="preserve"> смена кранов на шаровые краны диам15,20,32мм</t>
  </si>
  <si>
    <t>ремонт металлической двери</t>
  </si>
  <si>
    <t>м шва</t>
  </si>
  <si>
    <t>блокирующие замки для окон ПВХ накладной с тросиком</t>
  </si>
  <si>
    <t>улучшенная масляная окраска ранее окрашенных дверей за 2 раза с расчисткой старой краски до 10%</t>
  </si>
  <si>
    <t>смена розеток</t>
  </si>
  <si>
    <t>компл.</t>
  </si>
  <si>
    <t>смена дверных приборов:ручки-скобы</t>
  </si>
  <si>
    <t>выполнение работ по шунтированию стен, установка металла на парапет и отлива</t>
  </si>
  <si>
    <t>установка элеваторов после прочистки</t>
  </si>
  <si>
    <t>ремонт и востановление уплотнения стыков прокладками ПРП в 1 ряд в стенах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</si>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</sst>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1" fillId="0" borderId="0" xfId="0" applyNumberFormat="1" applyFont="1"/>
    <xf numFmtId="2" fontId="8" fillId="3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2" fontId="8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8" fillId="2" borderId="4" xfId="0" applyNumberFormat="1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topLeftCell="D204" zoomScale="91" zoomScaleNormal="91" workbookViewId="0">
      <selection activeCell="J217" sqref="J21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83" t="s">
        <v>98</v>
      </c>
      <c r="J1" s="83"/>
    </row>
    <row r="2" spans="1:12" ht="70.5" customHeight="1" x14ac:dyDescent="0.25">
      <c r="A2" s="76" t="s">
        <v>208</v>
      </c>
      <c r="B2" s="77"/>
      <c r="C2" s="77"/>
      <c r="D2" s="77"/>
      <c r="E2" s="77"/>
      <c r="F2" s="77"/>
      <c r="G2" s="77"/>
      <c r="H2" s="77"/>
      <c r="I2" s="77"/>
      <c r="J2" s="77"/>
      <c r="K2" s="2"/>
      <c r="L2" s="2"/>
    </row>
    <row r="3" spans="1:12" ht="75" x14ac:dyDescent="0.25">
      <c r="A3" s="18" t="s">
        <v>83</v>
      </c>
      <c r="B3" s="3"/>
      <c r="C3" s="3"/>
      <c r="D3" s="18" t="s">
        <v>102</v>
      </c>
      <c r="E3" s="18" t="s">
        <v>106</v>
      </c>
      <c r="F3" s="19" t="s">
        <v>104</v>
      </c>
      <c r="G3" s="19" t="s">
        <v>82</v>
      </c>
      <c r="H3" s="19" t="s">
        <v>81</v>
      </c>
      <c r="I3" s="19" t="s">
        <v>103</v>
      </c>
      <c r="J3" s="19" t="s">
        <v>105</v>
      </c>
      <c r="K3" s="2"/>
      <c r="L3" s="2"/>
    </row>
    <row r="4" spans="1:12" ht="18.75" x14ac:dyDescent="0.3">
      <c r="A4" s="84" t="s">
        <v>89</v>
      </c>
      <c r="B4" s="85"/>
      <c r="C4" s="85"/>
      <c r="D4" s="85"/>
      <c r="E4" s="85"/>
      <c r="F4" s="85"/>
      <c r="G4" s="86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197</v>
      </c>
      <c r="E5" s="37" t="s">
        <v>142</v>
      </c>
      <c r="F5" s="37" t="s">
        <v>142</v>
      </c>
      <c r="G5" s="13" t="s">
        <v>115</v>
      </c>
      <c r="H5" s="37" t="s">
        <v>142</v>
      </c>
      <c r="I5" s="37" t="s">
        <v>142</v>
      </c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37"/>
      <c r="F6" s="37"/>
      <c r="G6" s="13" t="s">
        <v>115</v>
      </c>
      <c r="H6" s="47"/>
      <c r="I6" s="47"/>
      <c r="J6" s="50"/>
      <c r="K6" s="51"/>
      <c r="L6" s="2"/>
    </row>
    <row r="7" spans="1:12" ht="35.25" customHeight="1" x14ac:dyDescent="0.3">
      <c r="A7" s="6" t="s">
        <v>1</v>
      </c>
      <c r="B7" s="5"/>
      <c r="C7" s="4"/>
      <c r="D7" s="15" t="s">
        <v>158</v>
      </c>
      <c r="E7" s="37"/>
      <c r="F7" s="37"/>
      <c r="G7" s="13" t="s">
        <v>30</v>
      </c>
      <c r="H7" s="47"/>
      <c r="I7" s="47"/>
      <c r="J7" s="50"/>
      <c r="K7" s="51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37" t="s">
        <v>142</v>
      </c>
      <c r="F8" s="37" t="s">
        <v>142</v>
      </c>
      <c r="G8" s="13" t="s">
        <v>30</v>
      </c>
      <c r="H8" s="47" t="s">
        <v>142</v>
      </c>
      <c r="I8" s="47" t="s">
        <v>142</v>
      </c>
      <c r="J8" s="50"/>
      <c r="K8" s="51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37" t="s">
        <v>142</v>
      </c>
      <c r="F9" s="37" t="s">
        <v>142</v>
      </c>
      <c r="G9" s="13" t="s">
        <v>30</v>
      </c>
      <c r="H9" s="47" t="s">
        <v>142</v>
      </c>
      <c r="I9" s="47" t="s">
        <v>142</v>
      </c>
      <c r="J9" s="50"/>
      <c r="K9" s="51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37" t="s">
        <v>142</v>
      </c>
      <c r="F10" s="37" t="s">
        <v>142</v>
      </c>
      <c r="G10" s="13" t="s">
        <v>30</v>
      </c>
      <c r="H10" s="47" t="s">
        <v>142</v>
      </c>
      <c r="I10" s="47" t="s">
        <v>142</v>
      </c>
      <c r="J10" s="50"/>
      <c r="K10" s="51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37"/>
      <c r="F11" s="37"/>
      <c r="G11" s="13" t="s">
        <v>31</v>
      </c>
      <c r="H11" s="47"/>
      <c r="I11" s="47"/>
      <c r="J11" s="50"/>
      <c r="K11" s="51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37" t="s">
        <v>142</v>
      </c>
      <c r="F12" s="37" t="s">
        <v>142</v>
      </c>
      <c r="G12" s="14" t="s">
        <v>31</v>
      </c>
      <c r="H12" s="47" t="s">
        <v>142</v>
      </c>
      <c r="I12" s="47" t="s">
        <v>142</v>
      </c>
      <c r="J12" s="50"/>
      <c r="K12" s="51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37" t="s">
        <v>142</v>
      </c>
      <c r="F13" s="37" t="s">
        <v>142</v>
      </c>
      <c r="G13" s="13" t="s">
        <v>30</v>
      </c>
      <c r="H13" s="47" t="s">
        <v>142</v>
      </c>
      <c r="I13" s="47" t="s">
        <v>142</v>
      </c>
      <c r="J13" s="50"/>
      <c r="K13" s="52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37" t="s">
        <v>142</v>
      </c>
      <c r="F14" s="37" t="s">
        <v>142</v>
      </c>
      <c r="G14" s="13" t="s">
        <v>30</v>
      </c>
      <c r="H14" s="47" t="s">
        <v>142</v>
      </c>
      <c r="I14" s="47" t="s">
        <v>142</v>
      </c>
      <c r="J14" s="50"/>
      <c r="K14" s="51"/>
      <c r="L14" s="2"/>
    </row>
    <row r="15" spans="1:12" ht="27" customHeight="1" x14ac:dyDescent="0.3">
      <c r="A15" s="26"/>
      <c r="B15" s="20"/>
      <c r="C15" s="20"/>
      <c r="D15" s="28"/>
      <c r="E15" s="40"/>
      <c r="F15" s="40"/>
      <c r="G15" s="29"/>
      <c r="H15" s="47"/>
      <c r="I15" s="47">
        <f>SUM(I6:I14)</f>
        <v>0</v>
      </c>
      <c r="J15" s="50"/>
      <c r="K15" s="51"/>
      <c r="L15" s="2"/>
    </row>
    <row r="16" spans="1:12" ht="18.75" x14ac:dyDescent="0.3">
      <c r="A16" s="84" t="s">
        <v>57</v>
      </c>
      <c r="B16" s="85"/>
      <c r="C16" s="85"/>
      <c r="D16" s="85"/>
      <c r="E16" s="85"/>
      <c r="F16" s="85"/>
      <c r="G16" s="86"/>
      <c r="H16" s="53"/>
      <c r="I16" s="54"/>
      <c r="J16" s="50"/>
      <c r="K16" s="52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37"/>
      <c r="F17" s="37"/>
      <c r="G17" s="14" t="s">
        <v>55</v>
      </c>
      <c r="H17" s="47"/>
      <c r="I17" s="47"/>
      <c r="J17" s="50"/>
      <c r="K17" s="52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37" t="s">
        <v>142</v>
      </c>
      <c r="F18" s="37" t="s">
        <v>142</v>
      </c>
      <c r="G18" s="14" t="s">
        <v>54</v>
      </c>
      <c r="H18" s="47" t="s">
        <v>142</v>
      </c>
      <c r="I18" s="47" t="s">
        <v>142</v>
      </c>
      <c r="J18" s="50"/>
      <c r="K18" s="52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37" t="s">
        <v>142</v>
      </c>
      <c r="F19" s="37">
        <f>8+6+143</f>
        <v>157</v>
      </c>
      <c r="G19" s="14" t="s">
        <v>54</v>
      </c>
      <c r="H19" s="55">
        <f>(1191.8+1965.8+48124.4)/F19</f>
        <v>326.63694267515922</v>
      </c>
      <c r="I19" s="69">
        <f>F19*H19</f>
        <v>51282</v>
      </c>
      <c r="J19" s="50" t="s">
        <v>151</v>
      </c>
      <c r="K19" s="51"/>
      <c r="L19" s="2"/>
    </row>
    <row r="20" spans="1:12" ht="32.25" x14ac:dyDescent="0.3">
      <c r="A20" s="6"/>
      <c r="B20" s="5"/>
      <c r="C20" s="4"/>
      <c r="D20" s="15" t="s">
        <v>170</v>
      </c>
      <c r="E20" s="37" t="s">
        <v>142</v>
      </c>
      <c r="F20" s="37">
        <f>9</f>
        <v>9</v>
      </c>
      <c r="G20" s="14" t="s">
        <v>91</v>
      </c>
      <c r="H20" s="55">
        <f>8434.4/F20</f>
        <v>937.15555555555557</v>
      </c>
      <c r="I20" s="69">
        <f>F20*H20</f>
        <v>8434.4</v>
      </c>
      <c r="J20" s="50" t="s">
        <v>120</v>
      </c>
      <c r="K20" s="51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37"/>
      <c r="F21" s="37">
        <f>2.3</f>
        <v>2.2999999999999998</v>
      </c>
      <c r="G21" s="14" t="s">
        <v>54</v>
      </c>
      <c r="H21" s="55">
        <f>5136.6/F21</f>
        <v>2233.3043478260875</v>
      </c>
      <c r="I21" s="69">
        <f>F21*H21</f>
        <v>5136.6000000000004</v>
      </c>
      <c r="J21" s="50" t="s">
        <v>120</v>
      </c>
      <c r="K21" s="51"/>
      <c r="L21" s="2"/>
    </row>
    <row r="22" spans="1:12" ht="18.75" x14ac:dyDescent="0.3">
      <c r="A22" s="6"/>
      <c r="B22" s="5"/>
      <c r="C22" s="4"/>
      <c r="D22" s="4"/>
      <c r="E22" s="37"/>
      <c r="F22" s="37"/>
      <c r="G22" s="14"/>
      <c r="H22" s="47"/>
      <c r="I22" s="47"/>
      <c r="J22" s="50"/>
      <c r="K22" s="51"/>
      <c r="L22" s="2"/>
    </row>
    <row r="23" spans="1:12" ht="18.75" x14ac:dyDescent="0.3">
      <c r="A23" s="6" t="s">
        <v>11</v>
      </c>
      <c r="B23" s="5"/>
      <c r="C23" s="4"/>
      <c r="D23" s="4" t="s">
        <v>40</v>
      </c>
      <c r="E23" s="37" t="s">
        <v>142</v>
      </c>
      <c r="F23" s="37" t="s">
        <v>142</v>
      </c>
      <c r="G23" s="14" t="s">
        <v>54</v>
      </c>
      <c r="H23" s="47" t="s">
        <v>142</v>
      </c>
      <c r="I23" s="47" t="s">
        <v>142</v>
      </c>
      <c r="J23" s="50"/>
      <c r="K23" s="51"/>
      <c r="L23" s="2"/>
    </row>
    <row r="24" spans="1:12" ht="18.75" x14ac:dyDescent="0.3">
      <c r="A24" s="6"/>
      <c r="B24" s="5"/>
      <c r="C24" s="4"/>
      <c r="D24" s="4" t="s">
        <v>147</v>
      </c>
      <c r="E24" s="37" t="s">
        <v>142</v>
      </c>
      <c r="F24" s="37" t="s">
        <v>142</v>
      </c>
      <c r="G24" s="14" t="s">
        <v>148</v>
      </c>
      <c r="H24" s="47" t="s">
        <v>142</v>
      </c>
      <c r="I24" s="47" t="s">
        <v>142</v>
      </c>
      <c r="J24" s="50"/>
      <c r="K24" s="51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37" t="s">
        <v>142</v>
      </c>
      <c r="F25" s="37" t="s">
        <v>142</v>
      </c>
      <c r="G25" s="13" t="s">
        <v>30</v>
      </c>
      <c r="H25" s="47" t="s">
        <v>142</v>
      </c>
      <c r="I25" s="47" t="s">
        <v>142</v>
      </c>
      <c r="J25" s="50"/>
      <c r="K25" s="51"/>
      <c r="L25" s="2"/>
    </row>
    <row r="26" spans="1:12" ht="24.75" customHeight="1" x14ac:dyDescent="0.3">
      <c r="A26" s="6" t="s">
        <v>12</v>
      </c>
      <c r="B26" s="5"/>
      <c r="C26" s="4"/>
      <c r="D26" s="15" t="s">
        <v>41</v>
      </c>
      <c r="E26" s="37" t="s">
        <v>142</v>
      </c>
      <c r="F26" s="37" t="s">
        <v>142</v>
      </c>
      <c r="G26" s="14" t="s">
        <v>54</v>
      </c>
      <c r="H26" s="47" t="s">
        <v>142</v>
      </c>
      <c r="I26" s="47" t="s">
        <v>142</v>
      </c>
      <c r="J26" s="50"/>
      <c r="K26" s="51"/>
      <c r="L26" s="2"/>
    </row>
    <row r="27" spans="1:12" ht="24.75" customHeight="1" x14ac:dyDescent="0.3">
      <c r="A27" s="6"/>
      <c r="B27" s="5"/>
      <c r="C27" s="4"/>
      <c r="D27" s="15" t="s">
        <v>204</v>
      </c>
      <c r="E27" s="37"/>
      <c r="F27" s="37"/>
      <c r="G27" s="14" t="s">
        <v>31</v>
      </c>
      <c r="H27" s="47"/>
      <c r="I27" s="47"/>
      <c r="J27" s="50"/>
      <c r="K27" s="51"/>
      <c r="L27" s="2"/>
    </row>
    <row r="28" spans="1:12" ht="18.75" x14ac:dyDescent="0.3">
      <c r="A28" s="6" t="s">
        <v>56</v>
      </c>
      <c r="B28" s="5"/>
      <c r="C28" s="4"/>
      <c r="D28" s="15" t="s">
        <v>195</v>
      </c>
      <c r="E28" s="37"/>
      <c r="F28" s="37">
        <f>5</f>
        <v>5</v>
      </c>
      <c r="G28" s="14" t="s">
        <v>30</v>
      </c>
      <c r="H28" s="47">
        <f>3691.6/F28</f>
        <v>738.31999999999994</v>
      </c>
      <c r="I28" s="69">
        <f>F28*H28</f>
        <v>3691.5999999999995</v>
      </c>
      <c r="J28" s="50" t="s">
        <v>123</v>
      </c>
      <c r="K28" s="52"/>
      <c r="L28" s="2"/>
    </row>
    <row r="29" spans="1:12" ht="32.25" x14ac:dyDescent="0.3">
      <c r="A29" s="6"/>
      <c r="B29" s="5"/>
      <c r="C29" s="4"/>
      <c r="D29" s="15" t="s">
        <v>196</v>
      </c>
      <c r="E29" s="37" t="s">
        <v>142</v>
      </c>
      <c r="F29" s="37" t="s">
        <v>142</v>
      </c>
      <c r="G29" s="14" t="s">
        <v>30</v>
      </c>
      <c r="H29" s="47" t="s">
        <v>142</v>
      </c>
      <c r="I29" s="47" t="s">
        <v>142</v>
      </c>
      <c r="J29" s="50"/>
      <c r="K29" s="52"/>
      <c r="L29" s="2"/>
    </row>
    <row r="30" spans="1:12" ht="32.25" x14ac:dyDescent="0.3">
      <c r="A30" s="6"/>
      <c r="B30" s="5"/>
      <c r="C30" s="4"/>
      <c r="D30" s="15" t="s">
        <v>269</v>
      </c>
      <c r="E30" s="37"/>
      <c r="F30" s="37">
        <f>1</f>
        <v>1</v>
      </c>
      <c r="G30" s="14" t="s">
        <v>146</v>
      </c>
      <c r="H30" s="47">
        <f>81310/F30</f>
        <v>81310</v>
      </c>
      <c r="I30" s="69">
        <f>F30*H30</f>
        <v>81310</v>
      </c>
      <c r="J30" s="50" t="s">
        <v>123</v>
      </c>
      <c r="K30" s="52"/>
      <c r="L30" s="2"/>
    </row>
    <row r="31" spans="1:12" ht="32.25" x14ac:dyDescent="0.3">
      <c r="A31" s="6" t="s">
        <v>58</v>
      </c>
      <c r="B31" s="5"/>
      <c r="C31" s="4"/>
      <c r="D31" s="15" t="s">
        <v>96</v>
      </c>
      <c r="E31" s="37" t="s">
        <v>142</v>
      </c>
      <c r="F31" s="37" t="s">
        <v>142</v>
      </c>
      <c r="G31" s="14" t="s">
        <v>54</v>
      </c>
      <c r="H31" s="47" t="s">
        <v>142</v>
      </c>
      <c r="I31" s="47" t="s">
        <v>142</v>
      </c>
      <c r="J31" s="50"/>
      <c r="K31" s="52"/>
      <c r="L31" s="2"/>
    </row>
    <row r="32" spans="1:12" ht="32.25" x14ac:dyDescent="0.3">
      <c r="A32" s="6" t="s">
        <v>14</v>
      </c>
      <c r="B32" s="5"/>
      <c r="C32" s="4"/>
      <c r="D32" s="15" t="s">
        <v>95</v>
      </c>
      <c r="E32" s="37" t="s">
        <v>142</v>
      </c>
      <c r="F32" s="37" t="s">
        <v>142</v>
      </c>
      <c r="G32" s="14" t="s">
        <v>55</v>
      </c>
      <c r="H32" s="47" t="s">
        <v>142</v>
      </c>
      <c r="I32" s="47" t="s">
        <v>142</v>
      </c>
      <c r="J32" s="50"/>
      <c r="K32" s="52"/>
      <c r="L32" s="2"/>
    </row>
    <row r="33" spans="1:12" ht="18.75" x14ac:dyDescent="0.3">
      <c r="A33" s="6" t="s">
        <v>15</v>
      </c>
      <c r="B33" s="5"/>
      <c r="C33" s="4"/>
      <c r="D33" s="4" t="s">
        <v>43</v>
      </c>
      <c r="E33" s="37" t="s">
        <v>142</v>
      </c>
      <c r="F33" s="37" t="s">
        <v>142</v>
      </c>
      <c r="G33" s="14" t="s">
        <v>55</v>
      </c>
      <c r="H33" s="47" t="s">
        <v>142</v>
      </c>
      <c r="I33" s="47" t="s">
        <v>142</v>
      </c>
      <c r="J33" s="50"/>
      <c r="K33" s="52"/>
      <c r="L33" s="2"/>
    </row>
    <row r="34" spans="1:12" ht="18.75" x14ac:dyDescent="0.3">
      <c r="A34" s="6" t="s">
        <v>16</v>
      </c>
      <c r="B34" s="5"/>
      <c r="C34" s="4"/>
      <c r="D34" s="4" t="s">
        <v>44</v>
      </c>
      <c r="E34" s="37" t="s">
        <v>142</v>
      </c>
      <c r="F34" s="37" t="s">
        <v>142</v>
      </c>
      <c r="G34" s="14" t="s">
        <v>54</v>
      </c>
      <c r="H34" s="47" t="s">
        <v>142</v>
      </c>
      <c r="I34" s="47" t="s">
        <v>142</v>
      </c>
      <c r="J34" s="50"/>
      <c r="K34" s="52"/>
      <c r="L34" s="2"/>
    </row>
    <row r="35" spans="1:12" ht="18.75" x14ac:dyDescent="0.3">
      <c r="A35" s="6" t="s">
        <v>17</v>
      </c>
      <c r="B35" s="5"/>
      <c r="C35" s="4"/>
      <c r="D35" s="4" t="s">
        <v>45</v>
      </c>
      <c r="E35" s="37" t="s">
        <v>142</v>
      </c>
      <c r="F35" s="37" t="s">
        <v>142</v>
      </c>
      <c r="G35" s="13" t="s">
        <v>30</v>
      </c>
      <c r="H35" s="47" t="s">
        <v>142</v>
      </c>
      <c r="I35" s="47" t="s">
        <v>142</v>
      </c>
      <c r="J35" s="50"/>
      <c r="K35" s="52"/>
      <c r="L35" s="2"/>
    </row>
    <row r="36" spans="1:12" ht="18.75" x14ac:dyDescent="0.3">
      <c r="A36" s="6" t="s">
        <v>18</v>
      </c>
      <c r="B36" s="5"/>
      <c r="C36" s="4"/>
      <c r="D36" s="4" t="s">
        <v>46</v>
      </c>
      <c r="E36" s="37" t="s">
        <v>142</v>
      </c>
      <c r="F36" s="37" t="s">
        <v>142</v>
      </c>
      <c r="G36" s="14" t="s">
        <v>55</v>
      </c>
      <c r="H36" s="47" t="s">
        <v>142</v>
      </c>
      <c r="I36" s="47" t="s">
        <v>142</v>
      </c>
      <c r="J36" s="50"/>
      <c r="K36" s="52"/>
      <c r="L36" s="2"/>
    </row>
    <row r="37" spans="1:12" ht="18.75" x14ac:dyDescent="0.3">
      <c r="A37" s="26"/>
      <c r="B37" s="20"/>
      <c r="C37" s="20"/>
      <c r="D37" s="20"/>
      <c r="E37" s="40"/>
      <c r="F37" s="40"/>
      <c r="G37" s="12"/>
      <c r="H37" s="47"/>
      <c r="I37" s="47">
        <f>SUM(I17:I36)</f>
        <v>149854.6</v>
      </c>
      <c r="J37" s="50"/>
      <c r="K37" s="52"/>
      <c r="L37" s="2"/>
    </row>
    <row r="38" spans="1:12" ht="24" customHeight="1" x14ac:dyDescent="0.3">
      <c r="A38" s="84" t="s">
        <v>87</v>
      </c>
      <c r="B38" s="85"/>
      <c r="C38" s="85"/>
      <c r="D38" s="85"/>
      <c r="E38" s="85"/>
      <c r="F38" s="85"/>
      <c r="G38" s="86"/>
      <c r="H38" s="53"/>
      <c r="I38" s="54"/>
      <c r="J38" s="50"/>
      <c r="K38" s="52"/>
      <c r="L38" s="2"/>
    </row>
    <row r="39" spans="1:12" ht="32.25" customHeight="1" x14ac:dyDescent="0.3">
      <c r="A39" s="6" t="s">
        <v>50</v>
      </c>
      <c r="B39" s="5"/>
      <c r="C39" s="4"/>
      <c r="D39" s="15" t="s">
        <v>189</v>
      </c>
      <c r="E39" s="37" t="s">
        <v>142</v>
      </c>
      <c r="F39" s="37">
        <f>1</f>
        <v>1</v>
      </c>
      <c r="G39" s="35" t="s">
        <v>31</v>
      </c>
      <c r="H39" s="47">
        <f>985.8/F39</f>
        <v>985.8</v>
      </c>
      <c r="I39" s="47">
        <f>F39*H39</f>
        <v>985.8</v>
      </c>
      <c r="J39" s="50" t="s">
        <v>120</v>
      </c>
      <c r="K39" s="52"/>
      <c r="L39" s="2"/>
    </row>
    <row r="40" spans="1:12" ht="60.75" customHeight="1" x14ac:dyDescent="0.3">
      <c r="A40" s="6"/>
      <c r="B40" s="5"/>
      <c r="C40" s="4"/>
      <c r="D40" s="15" t="s">
        <v>216</v>
      </c>
      <c r="E40" s="37"/>
      <c r="F40" s="37">
        <f>9</f>
        <v>9</v>
      </c>
      <c r="G40" s="35" t="s">
        <v>31</v>
      </c>
      <c r="H40" s="55">
        <f>18650.2/F40</f>
        <v>2072.2444444444445</v>
      </c>
      <c r="I40" s="69">
        <f>H40*F40</f>
        <v>18650.2</v>
      </c>
      <c r="J40" s="50" t="s">
        <v>125</v>
      </c>
      <c r="K40" s="52"/>
      <c r="L40" s="2"/>
    </row>
    <row r="41" spans="1:12" ht="32.25" customHeight="1" x14ac:dyDescent="0.3">
      <c r="A41" s="6"/>
      <c r="B41" s="5"/>
      <c r="C41" s="4"/>
      <c r="D41" s="15" t="s">
        <v>217</v>
      </c>
      <c r="E41" s="37"/>
      <c r="F41" s="37">
        <f>6.6</f>
        <v>6.6</v>
      </c>
      <c r="G41" s="35" t="s">
        <v>218</v>
      </c>
      <c r="H41" s="55">
        <f>866/F41</f>
        <v>131.21212121212122</v>
      </c>
      <c r="I41" s="69">
        <f t="shared" ref="I41:I51" si="0">F41*H41</f>
        <v>866</v>
      </c>
      <c r="J41" s="50" t="s">
        <v>125</v>
      </c>
      <c r="K41" s="52"/>
      <c r="L41" s="2"/>
    </row>
    <row r="42" spans="1:12" ht="63" customHeight="1" x14ac:dyDescent="0.3">
      <c r="A42" s="6"/>
      <c r="B42" s="5"/>
      <c r="C42" s="4"/>
      <c r="D42" s="15" t="s">
        <v>230</v>
      </c>
      <c r="E42" s="37"/>
      <c r="F42" s="37">
        <f>17.76</f>
        <v>17.760000000000002</v>
      </c>
      <c r="G42" s="35" t="s">
        <v>115</v>
      </c>
      <c r="H42" s="55">
        <f>3790.8/F42</f>
        <v>213.44594594594594</v>
      </c>
      <c r="I42" s="69">
        <f t="shared" si="0"/>
        <v>3790.8</v>
      </c>
      <c r="J42" s="50" t="s">
        <v>125</v>
      </c>
      <c r="K42" s="52"/>
      <c r="L42" s="2"/>
    </row>
    <row r="43" spans="1:12" ht="32.25" customHeight="1" x14ac:dyDescent="0.3">
      <c r="A43" s="6"/>
      <c r="B43" s="5"/>
      <c r="C43" s="4"/>
      <c r="D43" s="15" t="s">
        <v>265</v>
      </c>
      <c r="E43" s="37" t="s">
        <v>142</v>
      </c>
      <c r="F43" s="37">
        <f>40.32</f>
        <v>40.32</v>
      </c>
      <c r="G43" s="13" t="s">
        <v>115</v>
      </c>
      <c r="H43" s="55">
        <f>16662/F43</f>
        <v>413.24404761904759</v>
      </c>
      <c r="I43" s="69">
        <f t="shared" si="0"/>
        <v>16662</v>
      </c>
      <c r="J43" s="50" t="s">
        <v>125</v>
      </c>
      <c r="K43" s="52"/>
      <c r="L43" s="2"/>
    </row>
    <row r="44" spans="1:12" ht="32.25" customHeight="1" x14ac:dyDescent="0.3">
      <c r="A44" s="6"/>
      <c r="B44" s="5"/>
      <c r="C44" s="4"/>
      <c r="D44" s="15" t="s">
        <v>215</v>
      </c>
      <c r="E44" s="37"/>
      <c r="F44" s="37">
        <f>1</f>
        <v>1</v>
      </c>
      <c r="G44" s="13" t="s">
        <v>31</v>
      </c>
      <c r="H44" s="47">
        <f>4202.4/F44</f>
        <v>4202.3999999999996</v>
      </c>
      <c r="I44" s="69">
        <f t="shared" si="0"/>
        <v>4202.3999999999996</v>
      </c>
      <c r="J44" s="50" t="s">
        <v>123</v>
      </c>
      <c r="K44" s="52"/>
      <c r="L44" s="2"/>
    </row>
    <row r="45" spans="1:12" ht="32.25" customHeight="1" x14ac:dyDescent="0.3">
      <c r="A45" s="6"/>
      <c r="B45" s="5"/>
      <c r="C45" s="4"/>
      <c r="D45" s="15" t="s">
        <v>223</v>
      </c>
      <c r="E45" s="37"/>
      <c r="F45" s="37">
        <f>1+1</f>
        <v>2</v>
      </c>
      <c r="G45" s="13" t="s">
        <v>31</v>
      </c>
      <c r="H45" s="47">
        <f>(928.4+2807.4)/F45</f>
        <v>1867.9</v>
      </c>
      <c r="I45" s="69">
        <f t="shared" si="0"/>
        <v>3735.8</v>
      </c>
      <c r="J45" s="50" t="s">
        <v>123</v>
      </c>
      <c r="K45" s="52"/>
      <c r="L45" s="2"/>
    </row>
    <row r="46" spans="1:12" ht="32.25" customHeight="1" x14ac:dyDescent="0.3">
      <c r="A46" s="6"/>
      <c r="B46" s="5"/>
      <c r="C46" s="4"/>
      <c r="D46" s="15" t="s">
        <v>268</v>
      </c>
      <c r="E46" s="37"/>
      <c r="F46" s="37">
        <f>2+2</f>
        <v>4</v>
      </c>
      <c r="G46" s="13" t="s">
        <v>31</v>
      </c>
      <c r="H46" s="47">
        <f>(498.8+748.4)/F46</f>
        <v>311.8</v>
      </c>
      <c r="I46" s="69">
        <f t="shared" ref="I46" si="1">F46*H46</f>
        <v>1247.2</v>
      </c>
      <c r="J46" s="50" t="s">
        <v>123</v>
      </c>
      <c r="K46" s="52"/>
      <c r="L46" s="2"/>
    </row>
    <row r="47" spans="1:12" ht="32.25" customHeight="1" x14ac:dyDescent="0.3">
      <c r="A47" s="6"/>
      <c r="B47" s="5"/>
      <c r="C47" s="4"/>
      <c r="D47" s="15" t="s">
        <v>271</v>
      </c>
      <c r="E47" s="37"/>
      <c r="F47" s="37">
        <v>19</v>
      </c>
      <c r="G47" s="13" t="s">
        <v>149</v>
      </c>
      <c r="H47" s="55">
        <f>4545/F47</f>
        <v>239.21052631578948</v>
      </c>
      <c r="I47" s="69">
        <f>F47*H47</f>
        <v>4545</v>
      </c>
      <c r="J47" s="50" t="s">
        <v>125</v>
      </c>
      <c r="K47" s="52"/>
      <c r="L47" s="2"/>
    </row>
    <row r="48" spans="1:12" ht="32.25" customHeight="1" x14ac:dyDescent="0.3">
      <c r="A48" s="6"/>
      <c r="B48" s="5"/>
      <c r="C48" s="4"/>
      <c r="D48" s="15" t="s">
        <v>262</v>
      </c>
      <c r="E48" s="37"/>
      <c r="F48" s="37">
        <v>0.2</v>
      </c>
      <c r="G48" s="13" t="s">
        <v>263</v>
      </c>
      <c r="H48" s="47">
        <f>7181/F48</f>
        <v>35905</v>
      </c>
      <c r="I48" s="69">
        <f>F48*H48</f>
        <v>7181</v>
      </c>
      <c r="J48" s="50" t="s">
        <v>120</v>
      </c>
      <c r="K48" s="52"/>
      <c r="L48" s="2"/>
    </row>
    <row r="49" spans="1:12" ht="32.25" x14ac:dyDescent="0.3">
      <c r="A49" s="6" t="s">
        <v>51</v>
      </c>
      <c r="B49" s="5"/>
      <c r="C49" s="4"/>
      <c r="D49" s="15" t="s">
        <v>101</v>
      </c>
      <c r="E49" s="37"/>
      <c r="F49" s="37"/>
      <c r="G49" s="13" t="s">
        <v>55</v>
      </c>
      <c r="H49" s="47"/>
      <c r="I49" s="47">
        <f t="shared" si="0"/>
        <v>0</v>
      </c>
      <c r="J49" s="50" t="s">
        <v>123</v>
      </c>
      <c r="K49" s="52"/>
      <c r="L49" s="2"/>
    </row>
    <row r="50" spans="1:12" ht="18.75" x14ac:dyDescent="0.3">
      <c r="A50" s="6"/>
      <c r="B50" s="5"/>
      <c r="C50" s="4"/>
      <c r="D50" s="15" t="s">
        <v>219</v>
      </c>
      <c r="E50" s="37"/>
      <c r="F50" s="37"/>
      <c r="G50" s="13" t="s">
        <v>31</v>
      </c>
      <c r="H50" s="47"/>
      <c r="I50" s="47">
        <f t="shared" si="0"/>
        <v>0</v>
      </c>
      <c r="J50" s="50" t="s">
        <v>125</v>
      </c>
      <c r="K50" s="52"/>
      <c r="L50" s="2"/>
    </row>
    <row r="51" spans="1:12" ht="32.25" x14ac:dyDescent="0.3">
      <c r="A51" s="6"/>
      <c r="B51" s="5"/>
      <c r="C51" s="4"/>
      <c r="D51" s="15" t="s">
        <v>264</v>
      </c>
      <c r="E51" s="37"/>
      <c r="F51" s="37">
        <f>9</f>
        <v>9</v>
      </c>
      <c r="G51" s="13" t="s">
        <v>31</v>
      </c>
      <c r="H51" s="47">
        <f>11070/F51</f>
        <v>1230</v>
      </c>
      <c r="I51" s="69">
        <f t="shared" si="0"/>
        <v>11070</v>
      </c>
      <c r="J51" s="50" t="s">
        <v>125</v>
      </c>
      <c r="K51" s="52"/>
      <c r="L51" s="2"/>
    </row>
    <row r="52" spans="1:12" ht="32.25" x14ac:dyDescent="0.3">
      <c r="A52" s="6" t="s">
        <v>60</v>
      </c>
      <c r="B52" s="8"/>
      <c r="C52" s="4"/>
      <c r="D52" s="15" t="s">
        <v>47</v>
      </c>
      <c r="E52" s="37" t="s">
        <v>142</v>
      </c>
      <c r="F52" s="37"/>
      <c r="G52" s="14" t="s">
        <v>54</v>
      </c>
      <c r="H52" s="47"/>
      <c r="I52" s="47" t="s">
        <v>142</v>
      </c>
      <c r="J52" s="50"/>
      <c r="K52" s="52"/>
      <c r="L52" s="2"/>
    </row>
    <row r="53" spans="1:12" ht="31.5" x14ac:dyDescent="0.3">
      <c r="A53" s="6"/>
      <c r="B53" s="8"/>
      <c r="C53" s="4"/>
      <c r="D53" s="38" t="s">
        <v>232</v>
      </c>
      <c r="E53" s="37"/>
      <c r="F53" s="37">
        <f>15.4</f>
        <v>15.4</v>
      </c>
      <c r="G53" s="13" t="s">
        <v>115</v>
      </c>
      <c r="H53" s="55">
        <f>32957.8/F53</f>
        <v>2140.1168831168834</v>
      </c>
      <c r="I53" s="69">
        <f t="shared" ref="I53:I54" si="2">F53*H53</f>
        <v>32957.800000000003</v>
      </c>
      <c r="J53" s="50" t="s">
        <v>125</v>
      </c>
      <c r="K53" s="52"/>
      <c r="L53" s="2"/>
    </row>
    <row r="54" spans="1:12" ht="31.5" x14ac:dyDescent="0.3">
      <c r="A54" s="6"/>
      <c r="B54" s="8"/>
      <c r="C54" s="4"/>
      <c r="D54" s="38" t="s">
        <v>233</v>
      </c>
      <c r="E54" s="37"/>
      <c r="F54" s="37">
        <f>9.36</f>
        <v>9.36</v>
      </c>
      <c r="G54" s="13" t="s">
        <v>115</v>
      </c>
      <c r="H54" s="55">
        <f>34334/F54</f>
        <v>3668.1623931623935</v>
      </c>
      <c r="I54" s="69">
        <f t="shared" si="2"/>
        <v>34334</v>
      </c>
      <c r="J54" s="50" t="s">
        <v>125</v>
      </c>
      <c r="K54" s="52"/>
      <c r="L54" s="2"/>
    </row>
    <row r="55" spans="1:12" ht="18.75" x14ac:dyDescent="0.3">
      <c r="A55" s="6"/>
      <c r="B55" s="8"/>
      <c r="C55" s="4"/>
      <c r="D55" s="38" t="s">
        <v>236</v>
      </c>
      <c r="E55" s="37"/>
      <c r="F55" s="37">
        <f>923.37</f>
        <v>923.37</v>
      </c>
      <c r="G55" s="13" t="s">
        <v>115</v>
      </c>
      <c r="H55" s="55">
        <f>151573.8/F55</f>
        <v>164.15283147600636</v>
      </c>
      <c r="I55" s="69">
        <f>F55*H55</f>
        <v>151573.79999999999</v>
      </c>
      <c r="J55" s="50" t="s">
        <v>125</v>
      </c>
      <c r="K55" s="52"/>
      <c r="L55" s="2"/>
    </row>
    <row r="56" spans="1:12" ht="31.5" x14ac:dyDescent="0.3">
      <c r="A56" s="6"/>
      <c r="B56" s="8"/>
      <c r="C56" s="4"/>
      <c r="D56" s="38" t="s">
        <v>237</v>
      </c>
      <c r="E56" s="37"/>
      <c r="F56" s="37">
        <f>948.13</f>
        <v>948.13</v>
      </c>
      <c r="G56" s="13" t="s">
        <v>115</v>
      </c>
      <c r="H56" s="55">
        <f>530214.8/F56</f>
        <v>559.22162572642992</v>
      </c>
      <c r="I56" s="69">
        <f>F56*H56</f>
        <v>530214.80000000005</v>
      </c>
      <c r="J56" s="50" t="s">
        <v>125</v>
      </c>
      <c r="K56" s="52"/>
      <c r="L56" s="2"/>
    </row>
    <row r="57" spans="1:12" ht="47.25" x14ac:dyDescent="0.3">
      <c r="A57" s="6"/>
      <c r="B57" s="8"/>
      <c r="C57" s="4"/>
      <c r="D57" s="38" t="s">
        <v>238</v>
      </c>
      <c r="E57" s="37"/>
      <c r="F57" s="37">
        <f>100.64</f>
        <v>100.64</v>
      </c>
      <c r="G57" s="13" t="s">
        <v>115</v>
      </c>
      <c r="H57" s="55">
        <f>33400.4/F57</f>
        <v>331.87996820349764</v>
      </c>
      <c r="I57" s="69">
        <f>F57*H57</f>
        <v>33400.400000000001</v>
      </c>
      <c r="J57" s="50" t="s">
        <v>125</v>
      </c>
      <c r="K57" s="52"/>
      <c r="L57" s="2"/>
    </row>
    <row r="58" spans="1:12" ht="47.25" x14ac:dyDescent="0.3">
      <c r="A58" s="6"/>
      <c r="B58" s="8"/>
      <c r="C58" s="4"/>
      <c r="D58" s="38" t="s">
        <v>251</v>
      </c>
      <c r="E58" s="37"/>
      <c r="F58" s="37">
        <f>17.6</f>
        <v>17.600000000000001</v>
      </c>
      <c r="G58" s="13" t="s">
        <v>115</v>
      </c>
      <c r="H58" s="55">
        <f>5840/F58</f>
        <v>331.81818181818181</v>
      </c>
      <c r="I58" s="69">
        <f>F58*H58</f>
        <v>5840</v>
      </c>
      <c r="J58" s="50" t="s">
        <v>125</v>
      </c>
      <c r="K58" s="52"/>
      <c r="L58" s="2"/>
    </row>
    <row r="59" spans="1:12" ht="32.25" x14ac:dyDescent="0.3">
      <c r="A59" s="6"/>
      <c r="B59" s="8"/>
      <c r="C59" s="4"/>
      <c r="D59" s="15" t="s">
        <v>222</v>
      </c>
      <c r="E59" s="37"/>
      <c r="F59" s="37">
        <f>11</f>
        <v>11</v>
      </c>
      <c r="G59" s="13" t="s">
        <v>218</v>
      </c>
      <c r="H59" s="55">
        <f>2979.2/F59</f>
        <v>270.83636363636361</v>
      </c>
      <c r="I59" s="69">
        <f>F59*H59</f>
        <v>2979.2</v>
      </c>
      <c r="J59" s="50" t="s">
        <v>125</v>
      </c>
      <c r="K59" s="52"/>
      <c r="L59" s="2"/>
    </row>
    <row r="60" spans="1:12" ht="18.75" x14ac:dyDescent="0.3">
      <c r="A60" s="6" t="s">
        <v>62</v>
      </c>
      <c r="B60" s="5"/>
      <c r="C60" s="4"/>
      <c r="D60" s="15" t="s">
        <v>52</v>
      </c>
      <c r="E60" s="37" t="s">
        <v>142</v>
      </c>
      <c r="F60" s="37"/>
      <c r="G60" s="14" t="s">
        <v>54</v>
      </c>
      <c r="H60" s="47"/>
      <c r="I60" s="47" t="s">
        <v>142</v>
      </c>
      <c r="J60" s="50"/>
      <c r="K60" s="52"/>
      <c r="L60" s="2"/>
    </row>
    <row r="61" spans="1:12" ht="18.75" x14ac:dyDescent="0.3">
      <c r="A61" s="6"/>
      <c r="B61" s="5"/>
      <c r="C61" s="4"/>
      <c r="D61" s="15" t="s">
        <v>239</v>
      </c>
      <c r="E61" s="37"/>
      <c r="F61" s="37">
        <f>6.75</f>
        <v>6.75</v>
      </c>
      <c r="G61" s="14" t="s">
        <v>218</v>
      </c>
      <c r="H61" s="55">
        <f>900/F61</f>
        <v>133.33333333333334</v>
      </c>
      <c r="I61" s="69">
        <f>F61*H61</f>
        <v>900.00000000000011</v>
      </c>
      <c r="J61" s="50" t="s">
        <v>125</v>
      </c>
      <c r="K61" s="52"/>
      <c r="L61" s="2"/>
    </row>
    <row r="62" spans="1:12" ht="32.25" x14ac:dyDescent="0.3">
      <c r="A62" s="6"/>
      <c r="B62" s="5"/>
      <c r="C62" s="4"/>
      <c r="D62" s="15" t="s">
        <v>240</v>
      </c>
      <c r="E62" s="37"/>
      <c r="F62" s="37">
        <f>3</f>
        <v>3</v>
      </c>
      <c r="G62" s="13" t="s">
        <v>31</v>
      </c>
      <c r="H62" s="47">
        <f>803.4/F62</f>
        <v>267.8</v>
      </c>
      <c r="I62" s="69">
        <f>F62*H62</f>
        <v>803.40000000000009</v>
      </c>
      <c r="J62" s="50" t="s">
        <v>125</v>
      </c>
      <c r="K62" s="52"/>
      <c r="L62" s="2"/>
    </row>
    <row r="63" spans="1:12" ht="48" x14ac:dyDescent="0.3">
      <c r="A63" s="6"/>
      <c r="B63" s="5"/>
      <c r="C63" s="4"/>
      <c r="D63" s="15" t="s">
        <v>241</v>
      </c>
      <c r="E63" s="37"/>
      <c r="F63" s="37">
        <f>26.225</f>
        <v>26.225000000000001</v>
      </c>
      <c r="G63" s="13" t="s">
        <v>115</v>
      </c>
      <c r="H63" s="55">
        <f>19042.8/F63</f>
        <v>726.13155386081974</v>
      </c>
      <c r="I63" s="69">
        <f>F63*H63</f>
        <v>19042.8</v>
      </c>
      <c r="J63" s="50" t="s">
        <v>125</v>
      </c>
      <c r="K63" s="52"/>
      <c r="L63" s="2"/>
    </row>
    <row r="64" spans="1:12" ht="32.25" x14ac:dyDescent="0.3">
      <c r="A64" s="6"/>
      <c r="B64" s="5"/>
      <c r="C64" s="4"/>
      <c r="D64" s="15" t="s">
        <v>242</v>
      </c>
      <c r="E64" s="37"/>
      <c r="F64" s="37">
        <v>10.8</v>
      </c>
      <c r="G64" s="13" t="s">
        <v>115</v>
      </c>
      <c r="H64" s="55">
        <f>2405/F64</f>
        <v>222.68518518518516</v>
      </c>
      <c r="I64" s="69">
        <f>F64*H64</f>
        <v>2405</v>
      </c>
      <c r="J64" s="50" t="s">
        <v>125</v>
      </c>
      <c r="K64" s="52"/>
      <c r="L64" s="2"/>
    </row>
    <row r="65" spans="1:12" ht="32.25" x14ac:dyDescent="0.3">
      <c r="A65" s="6" t="s">
        <v>63</v>
      </c>
      <c r="B65" s="5"/>
      <c r="C65" s="4"/>
      <c r="D65" s="15" t="s">
        <v>65</v>
      </c>
      <c r="E65" s="37" t="s">
        <v>142</v>
      </c>
      <c r="F65" s="37"/>
      <c r="G65" s="13" t="s">
        <v>30</v>
      </c>
      <c r="H65" s="47"/>
      <c r="I65" s="47" t="s">
        <v>142</v>
      </c>
      <c r="J65" s="50"/>
      <c r="K65" s="52"/>
      <c r="L65" s="2"/>
    </row>
    <row r="66" spans="1:12" ht="48" x14ac:dyDescent="0.3">
      <c r="A66" s="6"/>
      <c r="B66" s="5"/>
      <c r="C66" s="4"/>
      <c r="D66" s="15" t="s">
        <v>250</v>
      </c>
      <c r="E66" s="37"/>
      <c r="F66" s="37">
        <f>1</f>
        <v>1</v>
      </c>
      <c r="G66" s="13" t="s">
        <v>31</v>
      </c>
      <c r="H66" s="47">
        <f>(7494.2+466.8+3624)/F66</f>
        <v>11585</v>
      </c>
      <c r="I66" s="69">
        <f>F66*H66</f>
        <v>11585</v>
      </c>
      <c r="J66" s="50" t="s">
        <v>125</v>
      </c>
      <c r="K66" s="52"/>
      <c r="L66" s="2"/>
    </row>
    <row r="67" spans="1:12" ht="18.75" x14ac:dyDescent="0.3">
      <c r="A67" s="6"/>
      <c r="B67" s="5"/>
      <c r="C67" s="4"/>
      <c r="D67" s="15"/>
      <c r="E67" s="37"/>
      <c r="F67" s="37"/>
      <c r="G67" s="13"/>
      <c r="H67" s="47"/>
      <c r="I67" s="47"/>
      <c r="J67" s="50"/>
      <c r="K67" s="52"/>
      <c r="L67" s="2"/>
    </row>
    <row r="68" spans="1:12" ht="18.75" x14ac:dyDescent="0.3">
      <c r="A68" s="6"/>
      <c r="B68" s="5"/>
      <c r="C68" s="4"/>
      <c r="D68" s="15" t="s">
        <v>163</v>
      </c>
      <c r="E68" s="37" t="s">
        <v>142</v>
      </c>
      <c r="F68" s="37" t="s">
        <v>142</v>
      </c>
      <c r="G68" s="13" t="s">
        <v>31</v>
      </c>
      <c r="H68" s="47" t="s">
        <v>142</v>
      </c>
      <c r="I68" s="47" t="s">
        <v>142</v>
      </c>
      <c r="J68" s="50"/>
      <c r="K68" s="52"/>
      <c r="L68" s="2"/>
    </row>
    <row r="69" spans="1:12" ht="18.75" x14ac:dyDescent="0.3">
      <c r="A69" s="6" t="s">
        <v>59</v>
      </c>
      <c r="B69" s="8"/>
      <c r="C69" s="4"/>
      <c r="D69" s="4" t="s">
        <v>48</v>
      </c>
      <c r="E69" s="37" t="s">
        <v>142</v>
      </c>
      <c r="F69" s="37" t="s">
        <v>142</v>
      </c>
      <c r="G69" s="14" t="s">
        <v>54</v>
      </c>
      <c r="H69" s="47" t="s">
        <v>142</v>
      </c>
      <c r="I69" s="47" t="s">
        <v>142</v>
      </c>
      <c r="J69" s="50"/>
      <c r="K69" s="52"/>
      <c r="L69" s="2"/>
    </row>
    <row r="70" spans="1:12" ht="31.5" x14ac:dyDescent="0.3">
      <c r="A70" s="6"/>
      <c r="B70" s="8"/>
      <c r="C70" s="4"/>
      <c r="D70" s="38" t="s">
        <v>231</v>
      </c>
      <c r="E70" s="37"/>
      <c r="F70" s="37">
        <f>6.06</f>
        <v>6.06</v>
      </c>
      <c r="G70" s="13" t="s">
        <v>115</v>
      </c>
      <c r="H70" s="55">
        <f>16522/F70</f>
        <v>2726.4026402640266</v>
      </c>
      <c r="I70" s="69">
        <f>F70*H70</f>
        <v>16522</v>
      </c>
      <c r="J70" s="50" t="s">
        <v>125</v>
      </c>
      <c r="K70" s="52"/>
      <c r="L70" s="2"/>
    </row>
    <row r="71" spans="1:12" ht="31.5" x14ac:dyDescent="0.3">
      <c r="A71" s="6"/>
      <c r="B71" s="8"/>
      <c r="C71" s="4"/>
      <c r="D71" s="38" t="s">
        <v>234</v>
      </c>
      <c r="E71" s="37"/>
      <c r="F71" s="37">
        <f>315.04</f>
        <v>315.04000000000002</v>
      </c>
      <c r="G71" s="13" t="s">
        <v>115</v>
      </c>
      <c r="H71" s="55">
        <f>51713.4/F71</f>
        <v>164.14867953275774</v>
      </c>
      <c r="I71" s="69">
        <f>F71*H71</f>
        <v>51713.4</v>
      </c>
      <c r="J71" s="50" t="s">
        <v>125</v>
      </c>
      <c r="K71" s="52"/>
      <c r="L71" s="2"/>
    </row>
    <row r="72" spans="1:12" ht="31.5" x14ac:dyDescent="0.3">
      <c r="A72" s="6"/>
      <c r="B72" s="8"/>
      <c r="C72" s="4"/>
      <c r="D72" s="38" t="s">
        <v>235</v>
      </c>
      <c r="E72" s="37"/>
      <c r="F72" s="37">
        <f>321.1</f>
        <v>321.10000000000002</v>
      </c>
      <c r="G72" s="14" t="s">
        <v>115</v>
      </c>
      <c r="H72" s="55">
        <f>245330.8/F72</f>
        <v>764.03238866396748</v>
      </c>
      <c r="I72" s="69">
        <f>F72*H72</f>
        <v>245330.8</v>
      </c>
      <c r="J72" s="50" t="s">
        <v>125</v>
      </c>
      <c r="K72" s="52"/>
      <c r="L72" s="2"/>
    </row>
    <row r="73" spans="1:12" ht="32.25" x14ac:dyDescent="0.3">
      <c r="A73" s="6"/>
      <c r="B73" s="8"/>
      <c r="C73" s="4"/>
      <c r="D73" s="15" t="s">
        <v>220</v>
      </c>
      <c r="E73" s="37"/>
      <c r="F73" s="37">
        <f>8</f>
        <v>8</v>
      </c>
      <c r="G73" s="14" t="s">
        <v>221</v>
      </c>
      <c r="H73" s="47">
        <f>3120.4/F73</f>
        <v>390.05</v>
      </c>
      <c r="I73" s="69">
        <f>F73*H73</f>
        <v>3120.4</v>
      </c>
      <c r="J73" s="50" t="s">
        <v>125</v>
      </c>
      <c r="K73" s="52"/>
      <c r="L73" s="2"/>
    </row>
    <row r="74" spans="1:12" ht="32.25" x14ac:dyDescent="0.3">
      <c r="A74" s="6"/>
      <c r="B74" s="8"/>
      <c r="C74" s="4"/>
      <c r="D74" s="15" t="s">
        <v>211</v>
      </c>
      <c r="E74" s="37"/>
      <c r="F74" s="37">
        <f>60</f>
        <v>60</v>
      </c>
      <c r="G74" s="14" t="s">
        <v>31</v>
      </c>
      <c r="H74" s="55">
        <f>8886.8/F74</f>
        <v>148.11333333333332</v>
      </c>
      <c r="I74" s="69">
        <f>F74*H74</f>
        <v>8886.7999999999993</v>
      </c>
      <c r="J74" s="50" t="s">
        <v>151</v>
      </c>
      <c r="K74" s="52"/>
      <c r="L74" s="2"/>
    </row>
    <row r="75" spans="1:12" ht="24" customHeight="1" x14ac:dyDescent="0.3">
      <c r="A75" s="6" t="s">
        <v>61</v>
      </c>
      <c r="B75" s="8"/>
      <c r="C75" s="4"/>
      <c r="D75" s="4" t="s">
        <v>49</v>
      </c>
      <c r="E75" s="37" t="s">
        <v>142</v>
      </c>
      <c r="F75" s="37" t="s">
        <v>142</v>
      </c>
      <c r="G75" s="14" t="s">
        <v>54</v>
      </c>
      <c r="H75" s="47" t="s">
        <v>142</v>
      </c>
      <c r="I75" s="47" t="s">
        <v>142</v>
      </c>
      <c r="J75" s="50"/>
      <c r="K75" s="52"/>
      <c r="L75" s="2"/>
    </row>
    <row r="76" spans="1:12" ht="18.75" x14ac:dyDescent="0.3">
      <c r="A76" s="6" t="s">
        <v>66</v>
      </c>
      <c r="B76" s="5"/>
      <c r="C76" s="4"/>
      <c r="D76" s="4" t="s">
        <v>94</v>
      </c>
      <c r="E76" s="37" t="s">
        <v>142</v>
      </c>
      <c r="F76" s="37" t="s">
        <v>142</v>
      </c>
      <c r="G76" s="14" t="s">
        <v>55</v>
      </c>
      <c r="H76" s="47" t="s">
        <v>142</v>
      </c>
      <c r="I76" s="47" t="s">
        <v>142</v>
      </c>
      <c r="J76" s="50"/>
      <c r="K76" s="52"/>
      <c r="L76" s="2"/>
    </row>
    <row r="77" spans="1:12" ht="18.75" x14ac:dyDescent="0.3">
      <c r="A77" s="26"/>
      <c r="B77" s="20"/>
      <c r="C77" s="20"/>
      <c r="D77" s="20"/>
      <c r="E77" s="40"/>
      <c r="F77" s="40"/>
      <c r="G77" s="12"/>
      <c r="H77" s="47"/>
      <c r="I77" s="47">
        <f>SUM(I39:I76)</f>
        <v>1224545.8</v>
      </c>
      <c r="J77" s="50"/>
      <c r="K77" s="52"/>
      <c r="L77" s="2"/>
    </row>
    <row r="78" spans="1:12" ht="18.75" x14ac:dyDescent="0.3">
      <c r="A78" s="84" t="s">
        <v>68</v>
      </c>
      <c r="B78" s="85"/>
      <c r="C78" s="85"/>
      <c r="D78" s="85"/>
      <c r="E78" s="85"/>
      <c r="F78" s="85"/>
      <c r="G78" s="86"/>
      <c r="H78" s="56"/>
      <c r="I78" s="54"/>
      <c r="J78" s="50"/>
      <c r="K78" s="52"/>
      <c r="L78" s="2"/>
    </row>
    <row r="79" spans="1:12" ht="37.5" x14ac:dyDescent="0.25">
      <c r="A79" s="9" t="s">
        <v>29</v>
      </c>
      <c r="B79" s="8"/>
      <c r="C79" s="4"/>
      <c r="D79" s="15" t="s">
        <v>145</v>
      </c>
      <c r="E79" s="37" t="s">
        <v>142</v>
      </c>
      <c r="F79" s="37" t="s">
        <v>142</v>
      </c>
      <c r="G79" s="13" t="s">
        <v>55</v>
      </c>
      <c r="H79" s="47" t="s">
        <v>142</v>
      </c>
      <c r="I79" s="47" t="s">
        <v>142</v>
      </c>
      <c r="J79" s="50"/>
      <c r="K79" s="52"/>
      <c r="L79" s="2"/>
    </row>
    <row r="80" spans="1:12" ht="47.25" x14ac:dyDescent="0.25">
      <c r="A80" s="9"/>
      <c r="B80" s="8"/>
      <c r="C80" s="4"/>
      <c r="D80" s="15" t="s">
        <v>243</v>
      </c>
      <c r="E80" s="37"/>
      <c r="F80" s="37">
        <f>7.8</f>
        <v>7.8</v>
      </c>
      <c r="G80" s="13" t="s">
        <v>115</v>
      </c>
      <c r="H80" s="55">
        <f>5318.8/F80</f>
        <v>681.89743589743591</v>
      </c>
      <c r="I80" s="69">
        <f>F80*H80</f>
        <v>5318.8</v>
      </c>
      <c r="J80" s="50" t="s">
        <v>125</v>
      </c>
      <c r="K80" s="52"/>
      <c r="L80" s="2"/>
    </row>
    <row r="81" spans="1:12" ht="47.25" x14ac:dyDescent="0.25">
      <c r="A81" s="9"/>
      <c r="B81" s="8"/>
      <c r="C81" s="4"/>
      <c r="D81" s="15" t="s">
        <v>244</v>
      </c>
      <c r="E81" s="37"/>
      <c r="F81" s="37">
        <f>4.24</f>
        <v>4.24</v>
      </c>
      <c r="G81" s="13" t="s">
        <v>115</v>
      </c>
      <c r="H81" s="55">
        <f>2565.8/F81</f>
        <v>605.14150943396226</v>
      </c>
      <c r="I81" s="69">
        <f>F81*H81</f>
        <v>2565.8000000000002</v>
      </c>
      <c r="J81" s="50" t="s">
        <v>125</v>
      </c>
      <c r="K81" s="52"/>
      <c r="L81" s="2"/>
    </row>
    <row r="82" spans="1:12" ht="46.5" customHeight="1" x14ac:dyDescent="0.25">
      <c r="A82" s="9" t="s">
        <v>93</v>
      </c>
      <c r="B82" s="8"/>
      <c r="C82" s="4"/>
      <c r="D82" s="38" t="s">
        <v>128</v>
      </c>
      <c r="E82" s="30"/>
      <c r="F82" s="13">
        <f>5456.6</f>
        <v>5456.6</v>
      </c>
      <c r="G82" s="13" t="s">
        <v>115</v>
      </c>
      <c r="H82" s="57">
        <f>(22979.6+22979.6+22979.6+23500.2+23500.2+23500.2+24122+24122+24122+24882.6+24882.6+24882.4)/F82</f>
        <v>52.496609610380084</v>
      </c>
      <c r="I82" s="57">
        <f t="shared" ref="I82:I84" si="3">F82*H82</f>
        <v>286453</v>
      </c>
      <c r="J82" s="50" t="s">
        <v>118</v>
      </c>
      <c r="K82" s="52"/>
      <c r="L82" s="2"/>
    </row>
    <row r="83" spans="1:12" ht="46.5" customHeight="1" x14ac:dyDescent="0.25">
      <c r="A83" s="9"/>
      <c r="B83" s="8"/>
      <c r="C83" s="4"/>
      <c r="D83" s="15" t="s">
        <v>113</v>
      </c>
      <c r="E83" s="30"/>
      <c r="F83" s="13">
        <f>2407</f>
        <v>2407</v>
      </c>
      <c r="G83" s="13" t="s">
        <v>30</v>
      </c>
      <c r="H83" s="57">
        <f>201070/F83</f>
        <v>83.535521395928541</v>
      </c>
      <c r="I83" s="57">
        <f t="shared" si="3"/>
        <v>201070</v>
      </c>
      <c r="J83" s="50" t="s">
        <v>120</v>
      </c>
      <c r="K83" s="52"/>
      <c r="L83" s="2"/>
    </row>
    <row r="84" spans="1:12" ht="46.5" customHeight="1" x14ac:dyDescent="0.25">
      <c r="A84" s="9"/>
      <c r="B84" s="8"/>
      <c r="C84" s="4"/>
      <c r="D84" s="15" t="s">
        <v>114</v>
      </c>
      <c r="E84" s="37"/>
      <c r="F84" s="37">
        <f>300</f>
        <v>300</v>
      </c>
      <c r="G84" s="13" t="s">
        <v>30</v>
      </c>
      <c r="H84" s="55">
        <f>25347.2/F84</f>
        <v>84.490666666666669</v>
      </c>
      <c r="I84" s="47">
        <f t="shared" si="3"/>
        <v>25347.200000000001</v>
      </c>
      <c r="J84" s="50" t="s">
        <v>120</v>
      </c>
      <c r="K84" s="52"/>
      <c r="L84" s="2"/>
    </row>
    <row r="85" spans="1:12" ht="46.5" customHeight="1" x14ac:dyDescent="0.25">
      <c r="A85" s="9"/>
      <c r="B85" s="8"/>
      <c r="C85" s="4"/>
      <c r="D85" s="15" t="s">
        <v>161</v>
      </c>
      <c r="E85" s="37"/>
      <c r="F85" s="37"/>
      <c r="G85" s="13" t="s">
        <v>31</v>
      </c>
      <c r="H85" s="47"/>
      <c r="I85" s="47"/>
      <c r="J85" s="50"/>
      <c r="K85" s="52"/>
      <c r="L85" s="2"/>
    </row>
    <row r="86" spans="1:12" ht="46.5" customHeight="1" x14ac:dyDescent="0.25">
      <c r="A86" s="9"/>
      <c r="B86" s="8"/>
      <c r="C86" s="4"/>
      <c r="D86" s="15" t="s">
        <v>184</v>
      </c>
      <c r="E86" s="37" t="s">
        <v>142</v>
      </c>
      <c r="F86" s="37" t="s">
        <v>142</v>
      </c>
      <c r="G86" s="13" t="s">
        <v>31</v>
      </c>
      <c r="H86" s="47" t="s">
        <v>142</v>
      </c>
      <c r="I86" s="47" t="s">
        <v>142</v>
      </c>
      <c r="J86" s="50"/>
      <c r="K86" s="52"/>
      <c r="L86" s="2"/>
    </row>
    <row r="87" spans="1:12" ht="46.5" customHeight="1" x14ac:dyDescent="0.25">
      <c r="A87" s="9"/>
      <c r="B87" s="8"/>
      <c r="C87" s="4"/>
      <c r="D87" s="15" t="s">
        <v>270</v>
      </c>
      <c r="E87" s="37" t="s">
        <v>142</v>
      </c>
      <c r="F87" s="37" t="s">
        <v>142</v>
      </c>
      <c r="G87" s="13" t="s">
        <v>31</v>
      </c>
      <c r="H87" s="47" t="s">
        <v>142</v>
      </c>
      <c r="I87" s="47" t="s">
        <v>142</v>
      </c>
      <c r="J87" s="50"/>
      <c r="K87" s="52"/>
      <c r="L87" s="2"/>
    </row>
    <row r="88" spans="1:12" ht="46.5" customHeight="1" x14ac:dyDescent="0.25">
      <c r="A88" s="9"/>
      <c r="B88" s="8"/>
      <c r="C88" s="4"/>
      <c r="D88" s="15" t="s">
        <v>160</v>
      </c>
      <c r="E88" s="37" t="s">
        <v>142</v>
      </c>
      <c r="F88" s="37" t="s">
        <v>142</v>
      </c>
      <c r="G88" s="13" t="s">
        <v>31</v>
      </c>
      <c r="H88" s="47" t="s">
        <v>142</v>
      </c>
      <c r="I88" s="47" t="s">
        <v>142</v>
      </c>
      <c r="J88" s="50"/>
      <c r="K88" s="52"/>
      <c r="L88" s="2"/>
    </row>
    <row r="89" spans="1:12" ht="46.5" customHeight="1" x14ac:dyDescent="0.25">
      <c r="A89" s="9"/>
      <c r="B89" s="8"/>
      <c r="C89" s="4"/>
      <c r="D89" s="15" t="s">
        <v>185</v>
      </c>
      <c r="E89" s="37" t="s">
        <v>142</v>
      </c>
      <c r="F89" s="37" t="s">
        <v>142</v>
      </c>
      <c r="G89" s="13" t="s">
        <v>31</v>
      </c>
      <c r="H89" s="47" t="s">
        <v>142</v>
      </c>
      <c r="I89" s="47" t="s">
        <v>142</v>
      </c>
      <c r="J89" s="50"/>
      <c r="K89" s="52"/>
      <c r="L89" s="2"/>
    </row>
    <row r="90" spans="1:12" ht="46.5" customHeight="1" x14ac:dyDescent="0.25">
      <c r="A90" s="9"/>
      <c r="B90" s="8"/>
      <c r="C90" s="4"/>
      <c r="D90" s="15" t="s">
        <v>186</v>
      </c>
      <c r="E90" s="37" t="s">
        <v>142</v>
      </c>
      <c r="F90" s="37" t="s">
        <v>142</v>
      </c>
      <c r="G90" s="13" t="s">
        <v>31</v>
      </c>
      <c r="H90" s="47" t="s">
        <v>142</v>
      </c>
      <c r="I90" s="47" t="s">
        <v>142</v>
      </c>
      <c r="J90" s="50"/>
      <c r="K90" s="52"/>
      <c r="L90" s="2"/>
    </row>
    <row r="91" spans="1:12" ht="46.5" customHeight="1" x14ac:dyDescent="0.25">
      <c r="A91" s="9"/>
      <c r="B91" s="8"/>
      <c r="C91" s="4"/>
      <c r="D91" s="15" t="s">
        <v>162</v>
      </c>
      <c r="E91" s="37" t="s">
        <v>142</v>
      </c>
      <c r="F91" s="37" t="s">
        <v>142</v>
      </c>
      <c r="G91" s="13" t="s">
        <v>31</v>
      </c>
      <c r="H91" s="47" t="s">
        <v>142</v>
      </c>
      <c r="I91" s="47" t="s">
        <v>142</v>
      </c>
      <c r="J91" s="50"/>
      <c r="K91" s="52"/>
      <c r="L91" s="2"/>
    </row>
    <row r="92" spans="1:12" ht="46.5" customHeight="1" x14ac:dyDescent="0.25">
      <c r="A92" s="9"/>
      <c r="B92" s="8"/>
      <c r="C92" s="4"/>
      <c r="D92" s="15" t="s">
        <v>192</v>
      </c>
      <c r="E92" s="37" t="s">
        <v>142</v>
      </c>
      <c r="F92" s="37" t="s">
        <v>142</v>
      </c>
      <c r="G92" s="13" t="s">
        <v>30</v>
      </c>
      <c r="H92" s="47" t="s">
        <v>142</v>
      </c>
      <c r="I92" s="47" t="s">
        <v>142</v>
      </c>
      <c r="J92" s="50"/>
      <c r="K92" s="52"/>
      <c r="L92" s="2"/>
    </row>
    <row r="93" spans="1:12" ht="46.5" customHeight="1" x14ac:dyDescent="0.25">
      <c r="A93" s="9"/>
      <c r="B93" s="8"/>
      <c r="C93" s="4"/>
      <c r="D93" s="15" t="s">
        <v>193</v>
      </c>
      <c r="E93" s="37" t="s">
        <v>142</v>
      </c>
      <c r="F93" s="37" t="s">
        <v>142</v>
      </c>
      <c r="G93" s="13" t="s">
        <v>30</v>
      </c>
      <c r="H93" s="47" t="s">
        <v>142</v>
      </c>
      <c r="I93" s="47" t="s">
        <v>142</v>
      </c>
      <c r="J93" s="50"/>
      <c r="K93" s="52"/>
      <c r="L93" s="2"/>
    </row>
    <row r="94" spans="1:12" ht="46.5" customHeight="1" x14ac:dyDescent="0.25">
      <c r="A94" s="9"/>
      <c r="B94" s="8"/>
      <c r="C94" s="4"/>
      <c r="D94" s="15" t="s">
        <v>173</v>
      </c>
      <c r="E94" s="37" t="s">
        <v>142</v>
      </c>
      <c r="F94" s="37"/>
      <c r="G94" s="13" t="s">
        <v>157</v>
      </c>
      <c r="H94" s="47">
        <f>13185/2</f>
        <v>6592.5</v>
      </c>
      <c r="I94" s="47">
        <f>F94*H94</f>
        <v>0</v>
      </c>
      <c r="J94" s="50"/>
      <c r="K94" s="52"/>
      <c r="L94" s="2"/>
    </row>
    <row r="95" spans="1:12" ht="46.5" customHeight="1" x14ac:dyDescent="0.25">
      <c r="A95" s="9"/>
      <c r="B95" s="8"/>
      <c r="C95" s="4"/>
      <c r="D95" s="15" t="s">
        <v>171</v>
      </c>
      <c r="E95" s="37" t="s">
        <v>142</v>
      </c>
      <c r="F95" s="37">
        <f>8+3+2</f>
        <v>13</v>
      </c>
      <c r="G95" s="13" t="s">
        <v>157</v>
      </c>
      <c r="H95" s="55">
        <f>(54548.8+20920+14363.4)/F95</f>
        <v>6910.1692307692301</v>
      </c>
      <c r="I95" s="69">
        <f>F95*H95</f>
        <v>89832.2</v>
      </c>
      <c r="J95" s="50" t="s">
        <v>125</v>
      </c>
      <c r="K95" s="52"/>
      <c r="L95" s="2"/>
    </row>
    <row r="96" spans="1:12" ht="46.5" customHeight="1" x14ac:dyDescent="0.25">
      <c r="A96" s="9"/>
      <c r="B96" s="8"/>
      <c r="C96" s="4"/>
      <c r="D96" s="15" t="s">
        <v>258</v>
      </c>
      <c r="E96" s="37" t="s">
        <v>142</v>
      </c>
      <c r="F96" s="37">
        <f>2</f>
        <v>2</v>
      </c>
      <c r="G96" s="13" t="s">
        <v>31</v>
      </c>
      <c r="H96" s="47">
        <f>2728.2/F96</f>
        <v>1364.1</v>
      </c>
      <c r="I96" s="69">
        <f>F96*H96</f>
        <v>2728.2</v>
      </c>
      <c r="J96" s="50" t="s">
        <v>120</v>
      </c>
      <c r="K96" s="52"/>
      <c r="L96" s="2"/>
    </row>
    <row r="97" spans="1:12" ht="46.5" customHeight="1" x14ac:dyDescent="0.25">
      <c r="A97" s="9"/>
      <c r="B97" s="8"/>
      <c r="C97" s="4"/>
      <c r="D97" s="15" t="s">
        <v>135</v>
      </c>
      <c r="E97" s="37"/>
      <c r="F97" s="37">
        <f>15+10</f>
        <v>25</v>
      </c>
      <c r="G97" s="13" t="s">
        <v>31</v>
      </c>
      <c r="H97" s="55">
        <f>(17801+11865.4)/F97</f>
        <v>1186.6559999999999</v>
      </c>
      <c r="I97" s="69">
        <f>F97*H97</f>
        <v>29666.399999999998</v>
      </c>
      <c r="J97" s="50" t="s">
        <v>120</v>
      </c>
      <c r="K97" s="52"/>
      <c r="L97" s="2"/>
    </row>
    <row r="98" spans="1:12" ht="31.5" x14ac:dyDescent="0.25">
      <c r="A98" s="9" t="s">
        <v>84</v>
      </c>
      <c r="B98" s="8"/>
      <c r="C98" s="4"/>
      <c r="D98" s="15" t="s">
        <v>165</v>
      </c>
      <c r="E98" s="37" t="s">
        <v>142</v>
      </c>
      <c r="F98" s="37" t="s">
        <v>142</v>
      </c>
      <c r="G98" s="13" t="s">
        <v>55</v>
      </c>
      <c r="H98" s="47" t="s">
        <v>142</v>
      </c>
      <c r="I98" s="47" t="s">
        <v>142</v>
      </c>
      <c r="J98" s="50"/>
      <c r="K98" s="52"/>
      <c r="L98" s="2"/>
    </row>
    <row r="99" spans="1:12" ht="31.5" x14ac:dyDescent="0.25">
      <c r="A99" s="9"/>
      <c r="B99" s="8"/>
      <c r="C99" s="4"/>
      <c r="D99" s="15" t="s">
        <v>166</v>
      </c>
      <c r="E99" s="37" t="s">
        <v>142</v>
      </c>
      <c r="F99" s="37" t="s">
        <v>142</v>
      </c>
      <c r="G99" s="13" t="s">
        <v>55</v>
      </c>
      <c r="H99" s="47" t="s">
        <v>142</v>
      </c>
      <c r="I99" s="47" t="s">
        <v>142</v>
      </c>
      <c r="J99" s="50"/>
      <c r="K99" s="52"/>
      <c r="L99" s="2"/>
    </row>
    <row r="100" spans="1:12" ht="18.75" x14ac:dyDescent="0.25">
      <c r="A100" s="9"/>
      <c r="B100" s="8"/>
      <c r="C100" s="4"/>
      <c r="D100" s="15" t="s">
        <v>225</v>
      </c>
      <c r="E100" s="37" t="s">
        <v>142</v>
      </c>
      <c r="F100" s="37">
        <f>11+1</f>
        <v>12</v>
      </c>
      <c r="G100" s="13" t="s">
        <v>31</v>
      </c>
      <c r="H100" s="55">
        <f>(16986.6+1700.6)/F100</f>
        <v>1557.2666666666664</v>
      </c>
      <c r="I100" s="69">
        <f>F100*H100</f>
        <v>18687.199999999997</v>
      </c>
      <c r="J100" s="50" t="s">
        <v>125</v>
      </c>
      <c r="K100" s="52"/>
      <c r="L100" s="2"/>
    </row>
    <row r="101" spans="1:12" ht="18.75" x14ac:dyDescent="0.25">
      <c r="A101" s="9"/>
      <c r="B101" s="8"/>
      <c r="C101" s="4"/>
      <c r="D101" s="15" t="s">
        <v>135</v>
      </c>
      <c r="E101" s="37" t="s">
        <v>142</v>
      </c>
      <c r="F101" s="37"/>
      <c r="G101" s="13" t="s">
        <v>31</v>
      </c>
      <c r="H101" s="55"/>
      <c r="I101" s="47"/>
      <c r="J101" s="50"/>
      <c r="K101" s="52"/>
      <c r="L101" s="2"/>
    </row>
    <row r="102" spans="1:12" ht="18.75" x14ac:dyDescent="0.25">
      <c r="A102" s="9"/>
      <c r="B102" s="8"/>
      <c r="C102" s="4"/>
      <c r="D102" s="15" t="s">
        <v>154</v>
      </c>
      <c r="E102" s="37" t="s">
        <v>142</v>
      </c>
      <c r="F102" s="37"/>
      <c r="G102" s="13" t="s">
        <v>31</v>
      </c>
      <c r="H102" s="47"/>
      <c r="I102" s="47" t="s">
        <v>142</v>
      </c>
      <c r="J102" s="50"/>
      <c r="K102" s="52"/>
      <c r="L102" s="2"/>
    </row>
    <row r="103" spans="1:12" ht="18.75" x14ac:dyDescent="0.25">
      <c r="A103" s="9"/>
      <c r="B103" s="8"/>
      <c r="C103" s="4"/>
      <c r="D103" s="15" t="s">
        <v>255</v>
      </c>
      <c r="E103" s="37"/>
      <c r="F103" s="37">
        <f>1</f>
        <v>1</v>
      </c>
      <c r="G103" s="13" t="s">
        <v>31</v>
      </c>
      <c r="H103" s="47">
        <f>546/F103</f>
        <v>546</v>
      </c>
      <c r="I103" s="69">
        <f>F103*H103</f>
        <v>546</v>
      </c>
      <c r="J103" s="50" t="s">
        <v>120</v>
      </c>
      <c r="K103" s="52"/>
      <c r="L103" s="2"/>
    </row>
    <row r="104" spans="1:12" ht="18.75" x14ac:dyDescent="0.25">
      <c r="A104" s="9"/>
      <c r="B104" s="8"/>
      <c r="C104" s="4"/>
      <c r="D104" s="15" t="s">
        <v>256</v>
      </c>
      <c r="E104" s="37" t="s">
        <v>142</v>
      </c>
      <c r="F104" s="37">
        <f>1</f>
        <v>1</v>
      </c>
      <c r="G104" s="13" t="s">
        <v>31</v>
      </c>
      <c r="H104" s="47">
        <f>3710.8/F104</f>
        <v>3710.8</v>
      </c>
      <c r="I104" s="69">
        <f>F104*H104</f>
        <v>3710.8</v>
      </c>
      <c r="J104" s="50" t="s">
        <v>120</v>
      </c>
      <c r="K104" s="52"/>
      <c r="L104" s="2"/>
    </row>
    <row r="105" spans="1:12" ht="18.75" x14ac:dyDescent="0.25">
      <c r="A105" s="9"/>
      <c r="B105" s="8"/>
      <c r="C105" s="4"/>
      <c r="D105" s="15" t="s">
        <v>254</v>
      </c>
      <c r="E105" s="37" t="s">
        <v>142</v>
      </c>
      <c r="F105" s="37">
        <f>1</f>
        <v>1</v>
      </c>
      <c r="G105" s="13" t="s">
        <v>31</v>
      </c>
      <c r="H105" s="47">
        <f>24983/F105</f>
        <v>24983</v>
      </c>
      <c r="I105" s="69">
        <f>F105*H105</f>
        <v>24983</v>
      </c>
      <c r="J105" s="50" t="s">
        <v>120</v>
      </c>
      <c r="K105" s="52"/>
      <c r="L105" s="2"/>
    </row>
    <row r="106" spans="1:12" ht="18.75" x14ac:dyDescent="0.25">
      <c r="A106" s="9"/>
      <c r="B106" s="8"/>
      <c r="C106" s="4"/>
      <c r="D106" s="15" t="s">
        <v>167</v>
      </c>
      <c r="E106" s="37" t="s">
        <v>142</v>
      </c>
      <c r="F106" s="37"/>
      <c r="G106" s="13" t="s">
        <v>168</v>
      </c>
      <c r="H106" s="47"/>
      <c r="I106" s="47" t="s">
        <v>142</v>
      </c>
      <c r="J106" s="50"/>
      <c r="K106" s="52"/>
      <c r="L106" s="2"/>
    </row>
    <row r="107" spans="1:12" ht="18.75" x14ac:dyDescent="0.25">
      <c r="A107" s="9" t="s">
        <v>20</v>
      </c>
      <c r="B107" s="8"/>
      <c r="C107" s="4"/>
      <c r="D107" s="15" t="s">
        <v>69</v>
      </c>
      <c r="E107" s="37" t="s">
        <v>142</v>
      </c>
      <c r="F107" s="37"/>
      <c r="G107" s="13" t="s">
        <v>30</v>
      </c>
      <c r="H107" s="47"/>
      <c r="I107" s="47" t="s">
        <v>142</v>
      </c>
      <c r="J107" s="50"/>
      <c r="K107" s="52"/>
      <c r="L107" s="2"/>
    </row>
    <row r="108" spans="1:12" ht="31.5" x14ac:dyDescent="0.25">
      <c r="A108" s="9" t="s">
        <v>21</v>
      </c>
      <c r="B108" s="8"/>
      <c r="C108" s="4"/>
      <c r="D108" s="15" t="s">
        <v>71</v>
      </c>
      <c r="E108" s="37" t="s">
        <v>142</v>
      </c>
      <c r="F108" s="37">
        <v>1</v>
      </c>
      <c r="G108" s="13" t="s">
        <v>267</v>
      </c>
      <c r="H108" s="47">
        <f>20100/1</f>
        <v>20100</v>
      </c>
      <c r="I108" s="69">
        <f>F108*H108</f>
        <v>20100</v>
      </c>
      <c r="J108" s="50" t="s">
        <v>120</v>
      </c>
      <c r="K108" s="52"/>
      <c r="L108" s="2"/>
    </row>
    <row r="109" spans="1:12" ht="18.75" x14ac:dyDescent="0.25">
      <c r="A109" s="41"/>
      <c r="B109" s="42"/>
      <c r="C109" s="20"/>
      <c r="D109" s="28"/>
      <c r="E109" s="40"/>
      <c r="F109" s="40"/>
      <c r="G109" s="29"/>
      <c r="H109" s="47"/>
      <c r="I109" s="55">
        <f>SUM(I80:I108)</f>
        <v>711008.6</v>
      </c>
      <c r="J109" s="50"/>
      <c r="K109" s="52"/>
      <c r="L109" s="2"/>
    </row>
    <row r="110" spans="1:12" ht="18.75" x14ac:dyDescent="0.3">
      <c r="A110" s="78" t="s">
        <v>72</v>
      </c>
      <c r="B110" s="79"/>
      <c r="C110" s="79"/>
      <c r="D110" s="79"/>
      <c r="E110" s="79"/>
      <c r="F110" s="79"/>
      <c r="G110" s="80"/>
      <c r="H110" s="58"/>
      <c r="I110" s="54"/>
      <c r="J110" s="50"/>
      <c r="K110" s="52"/>
      <c r="L110" s="2"/>
    </row>
    <row r="111" spans="1:12" ht="37.5" x14ac:dyDescent="0.25">
      <c r="A111" s="9" t="s">
        <v>93</v>
      </c>
      <c r="B111" s="8"/>
      <c r="C111" s="4"/>
      <c r="D111" s="4" t="s">
        <v>130</v>
      </c>
      <c r="E111" s="29"/>
      <c r="F111" s="13">
        <f>4+6+4+6+4+6+4+4+3+6+2+6</f>
        <v>55</v>
      </c>
      <c r="G111" s="13" t="s">
        <v>117</v>
      </c>
      <c r="H111" s="57">
        <f>(2527.8+3790.8+2527.8+3876.4+2584.8+3876.4+2653.4+2653.4+1988.8+4103+1367+4103)/F111</f>
        <v>655.50181818181829</v>
      </c>
      <c r="I111" s="57">
        <f>F111*H111</f>
        <v>36052.600000000006</v>
      </c>
      <c r="J111" s="50" t="s">
        <v>118</v>
      </c>
      <c r="K111" s="52"/>
      <c r="L111" s="2"/>
    </row>
    <row r="112" spans="1:12" ht="18.75" x14ac:dyDescent="0.25">
      <c r="A112" s="9"/>
      <c r="B112" s="8"/>
      <c r="C112" s="4"/>
      <c r="D112" s="15" t="s">
        <v>154</v>
      </c>
      <c r="E112" s="37"/>
      <c r="F112" s="37"/>
      <c r="G112" s="13" t="s">
        <v>31</v>
      </c>
      <c r="H112" s="47" t="s">
        <v>142</v>
      </c>
      <c r="I112" s="47" t="s">
        <v>142</v>
      </c>
      <c r="J112" s="50"/>
      <c r="K112" s="52"/>
      <c r="L112" s="2"/>
    </row>
    <row r="113" spans="1:12" ht="31.5" x14ac:dyDescent="0.25">
      <c r="A113" s="9"/>
      <c r="B113" s="8"/>
      <c r="C113" s="4"/>
      <c r="D113" s="15" t="s">
        <v>173</v>
      </c>
      <c r="E113" s="37"/>
      <c r="F113" s="37">
        <f>2</f>
        <v>2</v>
      </c>
      <c r="G113" s="13" t="s">
        <v>157</v>
      </c>
      <c r="H113" s="47">
        <f>13185/F113</f>
        <v>6592.5</v>
      </c>
      <c r="I113" s="69">
        <f>F113*H113</f>
        <v>13185</v>
      </c>
      <c r="J113" s="50"/>
      <c r="K113" s="52"/>
      <c r="L113" s="2"/>
    </row>
    <row r="114" spans="1:12" ht="31.5" x14ac:dyDescent="0.25">
      <c r="A114" s="9"/>
      <c r="B114" s="8"/>
      <c r="C114" s="4"/>
      <c r="D114" s="15" t="s">
        <v>175</v>
      </c>
      <c r="E114" s="29"/>
      <c r="F114" s="29">
        <f>3+4</f>
        <v>7</v>
      </c>
      <c r="G114" s="13" t="s">
        <v>30</v>
      </c>
      <c r="H114" s="59">
        <f>(882+1229.8)/F114</f>
        <v>301.68571428571431</v>
      </c>
      <c r="I114" s="72">
        <f t="shared" ref="I114:I119" si="4">F114*H114</f>
        <v>2111.8000000000002</v>
      </c>
      <c r="J114" s="50" t="s">
        <v>125</v>
      </c>
      <c r="K114" s="52"/>
      <c r="L114" s="2"/>
    </row>
    <row r="115" spans="1:12" ht="78.75" x14ac:dyDescent="0.25">
      <c r="A115" s="9"/>
      <c r="B115" s="8"/>
      <c r="C115" s="4"/>
      <c r="D115" s="15" t="s">
        <v>177</v>
      </c>
      <c r="E115" s="29"/>
      <c r="F115" s="29">
        <f>3+4</f>
        <v>7</v>
      </c>
      <c r="G115" s="13" t="s">
        <v>174</v>
      </c>
      <c r="H115" s="59">
        <f>(116.4+162.4)/F115</f>
        <v>39.828571428571429</v>
      </c>
      <c r="I115" s="72">
        <f t="shared" si="4"/>
        <v>278.8</v>
      </c>
      <c r="J115" s="50" t="s">
        <v>125</v>
      </c>
      <c r="K115" s="52"/>
      <c r="L115" s="2"/>
    </row>
    <row r="116" spans="1:12" ht="47.25" x14ac:dyDescent="0.25">
      <c r="A116" s="9"/>
      <c r="B116" s="8"/>
      <c r="C116" s="4"/>
      <c r="D116" s="15" t="s">
        <v>178</v>
      </c>
      <c r="E116" s="29"/>
      <c r="F116" s="29">
        <f>3+4</f>
        <v>7</v>
      </c>
      <c r="G116" s="13" t="s">
        <v>30</v>
      </c>
      <c r="H116" s="59">
        <f>(1956.2+2156.4)/F116</f>
        <v>587.51428571428573</v>
      </c>
      <c r="I116" s="72">
        <f t="shared" si="4"/>
        <v>4112.6000000000004</v>
      </c>
      <c r="J116" s="50" t="s">
        <v>125</v>
      </c>
      <c r="K116" s="52"/>
      <c r="L116" s="2"/>
    </row>
    <row r="117" spans="1:12" ht="31.5" x14ac:dyDescent="0.25">
      <c r="A117" s="9"/>
      <c r="B117" s="8"/>
      <c r="C117" s="4"/>
      <c r="D117" s="15" t="s">
        <v>227</v>
      </c>
      <c r="E117" s="29"/>
      <c r="F117" s="29">
        <f>3</f>
        <v>3</v>
      </c>
      <c r="G117" s="13" t="s">
        <v>30</v>
      </c>
      <c r="H117" s="59">
        <f>1547.8/F117</f>
        <v>515.93333333333328</v>
      </c>
      <c r="I117" s="72">
        <f t="shared" si="4"/>
        <v>1547.7999999999997</v>
      </c>
      <c r="J117" s="50" t="s">
        <v>125</v>
      </c>
      <c r="K117" s="52"/>
      <c r="L117" s="2"/>
    </row>
    <row r="118" spans="1:12" ht="78.75" x14ac:dyDescent="0.25">
      <c r="A118" s="9"/>
      <c r="B118" s="8"/>
      <c r="C118" s="4"/>
      <c r="D118" s="15" t="s">
        <v>228</v>
      </c>
      <c r="E118" s="29"/>
      <c r="F118" s="29">
        <f>3</f>
        <v>3</v>
      </c>
      <c r="G118" s="13" t="s">
        <v>174</v>
      </c>
      <c r="H118" s="60">
        <f>144/F118</f>
        <v>48</v>
      </c>
      <c r="I118" s="72">
        <f t="shared" si="4"/>
        <v>144</v>
      </c>
      <c r="J118" s="50" t="s">
        <v>125</v>
      </c>
      <c r="K118" s="52"/>
      <c r="L118" s="2"/>
    </row>
    <row r="119" spans="1:12" ht="47.25" x14ac:dyDescent="0.25">
      <c r="A119" s="9"/>
      <c r="B119" s="8"/>
      <c r="C119" s="4"/>
      <c r="D119" s="15" t="s">
        <v>229</v>
      </c>
      <c r="E119" s="29"/>
      <c r="F119" s="29">
        <f>3</f>
        <v>3</v>
      </c>
      <c r="G119" s="13" t="s">
        <v>30</v>
      </c>
      <c r="H119" s="59">
        <f>1419.2/F119</f>
        <v>473.06666666666666</v>
      </c>
      <c r="I119" s="72">
        <f t="shared" si="4"/>
        <v>1419.2</v>
      </c>
      <c r="J119" s="50" t="s">
        <v>125</v>
      </c>
      <c r="K119" s="52"/>
      <c r="L119" s="2"/>
    </row>
    <row r="120" spans="1:12" ht="31.5" x14ac:dyDescent="0.25">
      <c r="A120" s="9"/>
      <c r="B120" s="8"/>
      <c r="C120" s="4"/>
      <c r="D120" s="15" t="s">
        <v>194</v>
      </c>
      <c r="E120" s="37" t="s">
        <v>142</v>
      </c>
      <c r="F120" s="37">
        <f>2</f>
        <v>2</v>
      </c>
      <c r="G120" s="13" t="s">
        <v>157</v>
      </c>
      <c r="H120" s="47">
        <f>13899/F120</f>
        <v>6949.5</v>
      </c>
      <c r="I120" s="69">
        <f>F120*H120</f>
        <v>13899</v>
      </c>
      <c r="J120" s="50" t="s">
        <v>123</v>
      </c>
      <c r="K120" s="52"/>
      <c r="L120" s="2"/>
    </row>
    <row r="121" spans="1:12" ht="18.75" x14ac:dyDescent="0.25">
      <c r="A121" s="9"/>
      <c r="B121" s="8"/>
      <c r="C121" s="4"/>
      <c r="D121" s="15" t="s">
        <v>190</v>
      </c>
      <c r="E121" s="37" t="s">
        <v>142</v>
      </c>
      <c r="F121" s="37">
        <f>2</f>
        <v>2</v>
      </c>
      <c r="G121" s="13" t="s">
        <v>155</v>
      </c>
      <c r="H121" s="55">
        <f>1013.4/F121</f>
        <v>506.7</v>
      </c>
      <c r="I121" s="49">
        <f>F121*H121</f>
        <v>1013.4</v>
      </c>
      <c r="J121" s="50" t="s">
        <v>125</v>
      </c>
      <c r="K121" s="52"/>
      <c r="L121" s="2"/>
    </row>
    <row r="122" spans="1:12" ht="31.5" x14ac:dyDescent="0.25">
      <c r="A122" s="9"/>
      <c r="B122" s="8"/>
      <c r="C122" s="4"/>
      <c r="D122" s="15" t="s">
        <v>191</v>
      </c>
      <c r="E122" s="37" t="s">
        <v>142</v>
      </c>
      <c r="F122" s="37"/>
      <c r="G122" s="13" t="s">
        <v>30</v>
      </c>
      <c r="H122" s="47"/>
      <c r="I122" s="47" t="s">
        <v>142</v>
      </c>
      <c r="J122" s="50"/>
      <c r="K122" s="52"/>
      <c r="L122" s="2"/>
    </row>
    <row r="123" spans="1:12" ht="18.75" x14ac:dyDescent="0.25">
      <c r="A123" s="9" t="s">
        <v>84</v>
      </c>
      <c r="B123" s="8"/>
      <c r="C123" s="4"/>
      <c r="D123" s="15" t="s">
        <v>70</v>
      </c>
      <c r="E123" s="37" t="s">
        <v>142</v>
      </c>
      <c r="F123" s="37"/>
      <c r="G123" s="13" t="s">
        <v>55</v>
      </c>
      <c r="H123" s="47"/>
      <c r="I123" s="47" t="s">
        <v>142</v>
      </c>
      <c r="J123" s="50"/>
      <c r="K123" s="52"/>
      <c r="L123" s="2"/>
    </row>
    <row r="124" spans="1:12" ht="31.5" x14ac:dyDescent="0.25">
      <c r="A124" s="9"/>
      <c r="B124" s="8"/>
      <c r="C124" s="4"/>
      <c r="D124" s="15" t="s">
        <v>261</v>
      </c>
      <c r="E124" s="37"/>
      <c r="F124" s="37">
        <f>5+1</f>
        <v>6</v>
      </c>
      <c r="G124" s="13" t="s">
        <v>31</v>
      </c>
      <c r="H124" s="47">
        <f>(5125.2+1411.2)/F124</f>
        <v>1089.3999999999999</v>
      </c>
      <c r="I124" s="69">
        <f t="shared" ref="I124" si="5">F124*H124</f>
        <v>6536.4</v>
      </c>
      <c r="J124" s="50" t="s">
        <v>118</v>
      </c>
      <c r="K124" s="52"/>
      <c r="L124" s="2"/>
    </row>
    <row r="125" spans="1:12" ht="18.75" x14ac:dyDescent="0.25">
      <c r="A125" s="9"/>
      <c r="B125" s="8"/>
      <c r="C125" s="4"/>
      <c r="D125" s="15" t="s">
        <v>200</v>
      </c>
      <c r="E125" s="37"/>
      <c r="F125" s="37"/>
      <c r="G125" s="13" t="s">
        <v>31</v>
      </c>
      <c r="H125" s="47"/>
      <c r="I125" s="47"/>
      <c r="J125" s="50"/>
      <c r="K125" s="52"/>
      <c r="L125" s="2"/>
    </row>
    <row r="126" spans="1:12" ht="31.5" x14ac:dyDescent="0.25">
      <c r="A126" s="9" t="s">
        <v>21</v>
      </c>
      <c r="B126" s="8"/>
      <c r="C126" s="4"/>
      <c r="D126" s="15" t="s">
        <v>71</v>
      </c>
      <c r="E126" s="37" t="s">
        <v>142</v>
      </c>
      <c r="F126" s="37" t="s">
        <v>142</v>
      </c>
      <c r="G126" s="13" t="s">
        <v>146</v>
      </c>
      <c r="H126" s="47" t="s">
        <v>142</v>
      </c>
      <c r="I126" s="47" t="s">
        <v>142</v>
      </c>
      <c r="J126" s="50"/>
      <c r="K126" s="52"/>
      <c r="L126" s="2"/>
    </row>
    <row r="127" spans="1:12" ht="18.75" x14ac:dyDescent="0.25">
      <c r="A127" s="41"/>
      <c r="B127" s="42"/>
      <c r="C127" s="20"/>
      <c r="D127" s="28"/>
      <c r="E127" s="40"/>
      <c r="F127" s="40"/>
      <c r="G127" s="29"/>
      <c r="H127" s="47"/>
      <c r="I127" s="55">
        <f>SUM(I111:I126)</f>
        <v>80300.600000000006</v>
      </c>
      <c r="J127" s="50"/>
      <c r="K127" s="52"/>
      <c r="L127" s="2"/>
    </row>
    <row r="128" spans="1:12" ht="18.75" x14ac:dyDescent="0.3">
      <c r="A128" s="78" t="s">
        <v>73</v>
      </c>
      <c r="B128" s="79"/>
      <c r="C128" s="79"/>
      <c r="D128" s="79"/>
      <c r="E128" s="79"/>
      <c r="F128" s="79"/>
      <c r="G128" s="80"/>
      <c r="H128" s="50"/>
      <c r="I128" s="54"/>
      <c r="J128" s="50"/>
      <c r="K128" s="52"/>
      <c r="L128" s="2"/>
    </row>
    <row r="129" spans="1:12" ht="37.5" x14ac:dyDescent="0.25">
      <c r="A129" s="9" t="s">
        <v>93</v>
      </c>
      <c r="B129" s="8"/>
      <c r="C129" s="4"/>
      <c r="D129" s="4" t="s">
        <v>131</v>
      </c>
      <c r="E129" s="29"/>
      <c r="F129" s="13">
        <f>4+6+4+6+4+6+4+4+3+6+2+6</f>
        <v>55</v>
      </c>
      <c r="G129" s="13" t="s">
        <v>117</v>
      </c>
      <c r="H129" s="57">
        <f>(2527.8+3790.8+2527.8+3876.4+2584.8+3876.4+2653.4+2653.4+1988.8+4103+1367+4103)/F129</f>
        <v>655.50181818181829</v>
      </c>
      <c r="I129" s="57">
        <f>F129*H129</f>
        <v>36052.600000000006</v>
      </c>
      <c r="J129" s="50" t="s">
        <v>118</v>
      </c>
      <c r="K129" s="52"/>
      <c r="L129" s="2"/>
    </row>
    <row r="130" spans="1:12" ht="31.5" x14ac:dyDescent="0.25">
      <c r="A130" s="9"/>
      <c r="B130" s="8"/>
      <c r="C130" s="4"/>
      <c r="D130" s="15" t="s">
        <v>175</v>
      </c>
      <c r="E130" s="29"/>
      <c r="F130" s="29"/>
      <c r="G130" s="13" t="s">
        <v>30</v>
      </c>
      <c r="H130" s="60"/>
      <c r="I130" s="60"/>
      <c r="J130" s="50"/>
      <c r="K130" s="52"/>
      <c r="L130" s="2"/>
    </row>
    <row r="131" spans="1:12" ht="78.75" x14ac:dyDescent="0.25">
      <c r="A131" s="9"/>
      <c r="B131" s="8"/>
      <c r="C131" s="4"/>
      <c r="D131" s="15" t="s">
        <v>176</v>
      </c>
      <c r="E131" s="37" t="s">
        <v>142</v>
      </c>
      <c r="F131" s="37" t="s">
        <v>142</v>
      </c>
      <c r="G131" s="13" t="s">
        <v>174</v>
      </c>
      <c r="H131" s="47" t="s">
        <v>142</v>
      </c>
      <c r="I131" s="47" t="s">
        <v>142</v>
      </c>
      <c r="J131" s="50"/>
      <c r="K131" s="52"/>
      <c r="L131" s="2"/>
    </row>
    <row r="132" spans="1:12" ht="47.25" x14ac:dyDescent="0.25">
      <c r="A132" s="9"/>
      <c r="B132" s="8"/>
      <c r="C132" s="4"/>
      <c r="D132" s="15" t="s">
        <v>156</v>
      </c>
      <c r="E132" s="37" t="s">
        <v>142</v>
      </c>
      <c r="F132" s="37" t="s">
        <v>142</v>
      </c>
      <c r="G132" s="13" t="s">
        <v>30</v>
      </c>
      <c r="H132" s="47" t="s">
        <v>142</v>
      </c>
      <c r="I132" s="47" t="s">
        <v>142</v>
      </c>
      <c r="J132" s="50"/>
      <c r="K132" s="52"/>
      <c r="L132" s="2"/>
    </row>
    <row r="133" spans="1:12" ht="78.75" x14ac:dyDescent="0.25">
      <c r="A133" s="9"/>
      <c r="B133" s="8"/>
      <c r="C133" s="4"/>
      <c r="D133" s="15" t="s">
        <v>177</v>
      </c>
      <c r="E133" s="29"/>
      <c r="F133" s="29"/>
      <c r="G133" s="13" t="s">
        <v>174</v>
      </c>
      <c r="H133" s="60"/>
      <c r="I133" s="60"/>
      <c r="J133" s="50"/>
      <c r="K133" s="52"/>
      <c r="L133" s="2"/>
    </row>
    <row r="134" spans="1:12" ht="47.25" x14ac:dyDescent="0.25">
      <c r="A134" s="9"/>
      <c r="B134" s="8"/>
      <c r="C134" s="4"/>
      <c r="D134" s="15" t="s">
        <v>178</v>
      </c>
      <c r="E134" s="29"/>
      <c r="F134" s="29"/>
      <c r="G134" s="13" t="s">
        <v>30</v>
      </c>
      <c r="H134" s="60"/>
      <c r="I134" s="60"/>
      <c r="J134" s="50"/>
      <c r="K134" s="52"/>
      <c r="L134" s="2"/>
    </row>
    <row r="135" spans="1:12" ht="47.25" x14ac:dyDescent="0.25">
      <c r="A135" s="9"/>
      <c r="B135" s="8"/>
      <c r="C135" s="4"/>
      <c r="D135" s="15" t="s">
        <v>179</v>
      </c>
      <c r="E135" s="37" t="s">
        <v>142</v>
      </c>
      <c r="F135" s="37" t="s">
        <v>142</v>
      </c>
      <c r="G135" s="13" t="s">
        <v>30</v>
      </c>
      <c r="H135" s="47" t="s">
        <v>142</v>
      </c>
      <c r="I135" s="47" t="s">
        <v>142</v>
      </c>
      <c r="J135" s="50"/>
      <c r="K135" s="52"/>
      <c r="L135" s="2"/>
    </row>
    <row r="136" spans="1:12" ht="31.5" x14ac:dyDescent="0.25">
      <c r="A136" s="9"/>
      <c r="B136" s="8"/>
      <c r="C136" s="4"/>
      <c r="D136" s="15" t="s">
        <v>180</v>
      </c>
      <c r="E136" s="37" t="s">
        <v>142</v>
      </c>
      <c r="F136" s="37" t="s">
        <v>142</v>
      </c>
      <c r="G136" s="13" t="s">
        <v>30</v>
      </c>
      <c r="H136" s="47" t="s">
        <v>142</v>
      </c>
      <c r="I136" s="47" t="s">
        <v>142</v>
      </c>
      <c r="J136" s="50"/>
      <c r="K136" s="52"/>
      <c r="L136" s="2"/>
    </row>
    <row r="137" spans="1:12" ht="31.5" x14ac:dyDescent="0.25">
      <c r="A137" s="9"/>
      <c r="B137" s="8"/>
      <c r="C137" s="4"/>
      <c r="D137" s="15" t="s">
        <v>181</v>
      </c>
      <c r="E137" s="37" t="s">
        <v>142</v>
      </c>
      <c r="F137" s="37" t="s">
        <v>142</v>
      </c>
      <c r="G137" s="13" t="s">
        <v>30</v>
      </c>
      <c r="H137" s="47" t="s">
        <v>142</v>
      </c>
      <c r="I137" s="47" t="s">
        <v>142</v>
      </c>
      <c r="J137" s="50"/>
      <c r="K137" s="52"/>
      <c r="L137" s="2"/>
    </row>
    <row r="138" spans="1:12" ht="31.5" x14ac:dyDescent="0.25">
      <c r="A138" s="9"/>
      <c r="B138" s="8"/>
      <c r="C138" s="4"/>
      <c r="D138" s="15" t="s">
        <v>182</v>
      </c>
      <c r="E138" s="37" t="s">
        <v>142</v>
      </c>
      <c r="F138" s="37" t="s">
        <v>142</v>
      </c>
      <c r="G138" s="13" t="s">
        <v>30</v>
      </c>
      <c r="H138" s="47" t="s">
        <v>142</v>
      </c>
      <c r="I138" s="47" t="s">
        <v>142</v>
      </c>
      <c r="J138" s="50"/>
      <c r="K138" s="52"/>
      <c r="L138" s="2"/>
    </row>
    <row r="139" spans="1:12" ht="31.5" x14ac:dyDescent="0.25">
      <c r="A139" s="9"/>
      <c r="B139" s="8"/>
      <c r="C139" s="4"/>
      <c r="D139" s="15" t="s">
        <v>171</v>
      </c>
      <c r="E139" s="37" t="s">
        <v>142</v>
      </c>
      <c r="F139" s="37">
        <f>3+8</f>
        <v>11</v>
      </c>
      <c r="G139" s="13" t="s">
        <v>157</v>
      </c>
      <c r="H139" s="55">
        <f>(20039.6+55785.4)/F139</f>
        <v>6893.181818181818</v>
      </c>
      <c r="I139" s="69">
        <f>F139*H139</f>
        <v>75825</v>
      </c>
      <c r="J139" s="50" t="s">
        <v>151</v>
      </c>
      <c r="K139" s="52"/>
      <c r="L139" s="2"/>
    </row>
    <row r="140" spans="1:12" ht="18.75" x14ac:dyDescent="0.25">
      <c r="A140" s="9"/>
      <c r="B140" s="8"/>
      <c r="C140" s="4"/>
      <c r="D140" s="15" t="s">
        <v>190</v>
      </c>
      <c r="E140" s="37" t="s">
        <v>142</v>
      </c>
      <c r="F140" s="37"/>
      <c r="G140" s="13" t="s">
        <v>155</v>
      </c>
      <c r="H140" s="47"/>
      <c r="I140" s="47" t="s">
        <v>142</v>
      </c>
      <c r="J140" s="50"/>
      <c r="K140" s="52"/>
      <c r="L140" s="2"/>
    </row>
    <row r="141" spans="1:12" ht="18.75" x14ac:dyDescent="0.25">
      <c r="A141" s="9"/>
      <c r="B141" s="8"/>
      <c r="C141" s="4"/>
      <c r="D141" s="15" t="s">
        <v>172</v>
      </c>
      <c r="E141" s="29"/>
      <c r="F141" s="29"/>
      <c r="G141" s="13" t="s">
        <v>155</v>
      </c>
      <c r="H141" s="60"/>
      <c r="I141" s="60"/>
      <c r="J141" s="50"/>
      <c r="K141" s="52"/>
      <c r="L141" s="2"/>
    </row>
    <row r="142" spans="1:12" ht="18.75" x14ac:dyDescent="0.25">
      <c r="A142" s="9"/>
      <c r="B142" s="8"/>
      <c r="C142" s="4"/>
      <c r="D142" s="15" t="s">
        <v>201</v>
      </c>
      <c r="E142" s="29"/>
      <c r="F142" s="29"/>
      <c r="G142" s="13" t="s">
        <v>31</v>
      </c>
      <c r="H142" s="60"/>
      <c r="I142" s="60"/>
      <c r="J142" s="50"/>
      <c r="K142" s="52"/>
      <c r="L142" s="2"/>
    </row>
    <row r="143" spans="1:12" ht="18.75" x14ac:dyDescent="0.25">
      <c r="A143" s="9"/>
      <c r="B143" s="8"/>
      <c r="C143" s="4"/>
      <c r="D143" s="15" t="s">
        <v>202</v>
      </c>
      <c r="E143" s="29"/>
      <c r="F143" s="29"/>
      <c r="G143" s="13" t="s">
        <v>31</v>
      </c>
      <c r="H143" s="60"/>
      <c r="I143" s="60"/>
      <c r="J143" s="50"/>
      <c r="K143" s="52"/>
      <c r="L143" s="2"/>
    </row>
    <row r="144" spans="1:12" ht="18.75" x14ac:dyDescent="0.25">
      <c r="A144" s="9" t="s">
        <v>84</v>
      </c>
      <c r="B144" s="8"/>
      <c r="C144" s="4"/>
      <c r="D144" s="15" t="s">
        <v>70</v>
      </c>
      <c r="E144" s="37" t="s">
        <v>142</v>
      </c>
      <c r="F144" s="37"/>
      <c r="G144" s="14" t="s">
        <v>55</v>
      </c>
      <c r="H144" s="47"/>
      <c r="I144" s="47" t="s">
        <v>142</v>
      </c>
      <c r="J144" s="50"/>
      <c r="K144" s="52"/>
      <c r="L144" s="2"/>
    </row>
    <row r="145" spans="1:12" ht="18.75" x14ac:dyDescent="0.25">
      <c r="A145" s="9"/>
      <c r="B145" s="8"/>
      <c r="C145" s="4"/>
      <c r="D145" s="15" t="s">
        <v>226</v>
      </c>
      <c r="E145" s="37"/>
      <c r="F145" s="37">
        <f>5</f>
        <v>5</v>
      </c>
      <c r="G145" s="14" t="s">
        <v>31</v>
      </c>
      <c r="H145" s="47">
        <f>4450.6/F145</f>
        <v>890.12000000000012</v>
      </c>
      <c r="I145" s="69">
        <f>F145*H145</f>
        <v>4450.6000000000004</v>
      </c>
      <c r="J145" s="50" t="s">
        <v>125</v>
      </c>
      <c r="K145" s="52"/>
      <c r="L145" s="2"/>
    </row>
    <row r="146" spans="1:12" ht="18.75" x14ac:dyDescent="0.25">
      <c r="A146" s="9"/>
      <c r="B146" s="8"/>
      <c r="C146" s="4"/>
      <c r="D146" s="15" t="s">
        <v>199</v>
      </c>
      <c r="E146" s="37"/>
      <c r="F146" s="37">
        <f>1+1</f>
        <v>2</v>
      </c>
      <c r="G146" s="13" t="s">
        <v>31</v>
      </c>
      <c r="H146" s="47">
        <f>(1616.4+1637.2)/F146</f>
        <v>1626.8000000000002</v>
      </c>
      <c r="I146" s="69">
        <f t="shared" ref="I146" si="6">F146*H146</f>
        <v>3253.6000000000004</v>
      </c>
      <c r="J146" s="50" t="s">
        <v>118</v>
      </c>
      <c r="K146" s="52"/>
      <c r="L146" s="2"/>
    </row>
    <row r="147" spans="1:12" ht="31.5" x14ac:dyDescent="0.25">
      <c r="A147" s="9" t="s">
        <v>21</v>
      </c>
      <c r="B147" s="8"/>
      <c r="C147" s="4"/>
      <c r="D147" s="15" t="s">
        <v>71</v>
      </c>
      <c r="E147" s="37" t="s">
        <v>142</v>
      </c>
      <c r="F147" s="37" t="s">
        <v>142</v>
      </c>
      <c r="G147" s="14" t="s">
        <v>55</v>
      </c>
      <c r="H147" s="47" t="s">
        <v>142</v>
      </c>
      <c r="I147" s="47" t="s">
        <v>142</v>
      </c>
      <c r="J147" s="50"/>
      <c r="K147" s="52"/>
      <c r="L147" s="2"/>
    </row>
    <row r="148" spans="1:12" ht="18.75" x14ac:dyDescent="0.25">
      <c r="A148" s="41"/>
      <c r="B148" s="42"/>
      <c r="C148" s="20"/>
      <c r="D148" s="28"/>
      <c r="E148" s="40"/>
      <c r="F148" s="40"/>
      <c r="G148" s="12"/>
      <c r="H148" s="47"/>
      <c r="I148" s="55">
        <f>SUM(I129:I147)</f>
        <v>119581.80000000002</v>
      </c>
      <c r="J148" s="50"/>
      <c r="K148" s="52"/>
      <c r="L148" s="2"/>
    </row>
    <row r="149" spans="1:12" ht="18.75" x14ac:dyDescent="0.3">
      <c r="A149" s="78" t="s">
        <v>74</v>
      </c>
      <c r="B149" s="79"/>
      <c r="C149" s="79"/>
      <c r="D149" s="79"/>
      <c r="E149" s="79"/>
      <c r="F149" s="79"/>
      <c r="G149" s="80"/>
      <c r="H149" s="58"/>
      <c r="I149" s="54"/>
      <c r="J149" s="50"/>
      <c r="K149" s="52"/>
      <c r="L149" s="2"/>
    </row>
    <row r="150" spans="1:12" ht="37.5" x14ac:dyDescent="0.25">
      <c r="A150" s="9" t="s">
        <v>99</v>
      </c>
      <c r="B150" s="8"/>
      <c r="C150" s="4"/>
      <c r="D150" s="4" t="s">
        <v>132</v>
      </c>
      <c r="E150" s="29"/>
      <c r="F150" s="13">
        <f>4+6+4+6+4+6+4+4+3+6+2+6</f>
        <v>55</v>
      </c>
      <c r="G150" s="13" t="s">
        <v>117</v>
      </c>
      <c r="H150" s="57">
        <f>(2527.8+3790.8+2527.8+3876.4+2584.8+3876.4+2653.4+2653.4+1988.8+4103+1367+4103)/F150</f>
        <v>655.50181818181829</v>
      </c>
      <c r="I150" s="57">
        <f>F150*H150</f>
        <v>36052.600000000006</v>
      </c>
      <c r="J150" s="50" t="s">
        <v>118</v>
      </c>
      <c r="K150" s="52"/>
      <c r="L150" s="2"/>
    </row>
    <row r="151" spans="1:12" ht="31.5" x14ac:dyDescent="0.25">
      <c r="A151" s="9"/>
      <c r="B151" s="8"/>
      <c r="C151" s="4"/>
      <c r="D151" s="15" t="s">
        <v>124</v>
      </c>
      <c r="E151" s="37"/>
      <c r="F151" s="37">
        <f>0.5+2</f>
        <v>2.5</v>
      </c>
      <c r="G151" s="13" t="s">
        <v>30</v>
      </c>
      <c r="H151" s="47">
        <f>(622.4+1809.2)/F151</f>
        <v>972.64</v>
      </c>
      <c r="I151" s="69">
        <f>F151*H151</f>
        <v>2431.6</v>
      </c>
      <c r="J151" s="50"/>
      <c r="K151" s="52"/>
      <c r="L151" s="2"/>
    </row>
    <row r="152" spans="1:12" ht="18.75" x14ac:dyDescent="0.25">
      <c r="A152" s="9"/>
      <c r="B152" s="8"/>
      <c r="C152" s="4"/>
      <c r="D152" s="4" t="s">
        <v>116</v>
      </c>
      <c r="E152" s="37"/>
      <c r="F152" s="37">
        <f>7.84+6.72+3.36+3.36+3.36+7.26+3.36+3.36+3.36+12</f>
        <v>53.98</v>
      </c>
      <c r="G152" s="13" t="s">
        <v>30</v>
      </c>
      <c r="H152" s="55">
        <f>(2360.4+2022.4+1012.2+1035+1035+2302.2+1063.8+1063.8+3911+3911)/F152</f>
        <v>365.26120785476104</v>
      </c>
      <c r="I152" s="55">
        <f>F152*H152</f>
        <v>19716.8</v>
      </c>
      <c r="J152" s="50" t="s">
        <v>118</v>
      </c>
      <c r="K152" s="52"/>
      <c r="L152" s="2"/>
    </row>
    <row r="153" spans="1:12" ht="18.75" x14ac:dyDescent="0.25">
      <c r="A153" s="9"/>
      <c r="B153" s="8"/>
      <c r="C153" s="4"/>
      <c r="D153" s="4" t="s">
        <v>159</v>
      </c>
      <c r="E153" s="37"/>
      <c r="F153" s="37"/>
      <c r="G153" s="13" t="s">
        <v>30</v>
      </c>
      <c r="H153" s="47"/>
      <c r="I153" s="47" t="s">
        <v>142</v>
      </c>
      <c r="J153" s="50"/>
      <c r="K153" s="52"/>
      <c r="L153" s="2"/>
    </row>
    <row r="154" spans="1:12" ht="18.75" x14ac:dyDescent="0.25">
      <c r="A154" s="9"/>
      <c r="B154" s="8"/>
      <c r="C154" s="4"/>
      <c r="D154" s="4" t="s">
        <v>187</v>
      </c>
      <c r="E154" s="37"/>
      <c r="F154" s="37">
        <f>2+2+1+2+2</f>
        <v>9</v>
      </c>
      <c r="G154" s="13" t="s">
        <v>139</v>
      </c>
      <c r="H154" s="55">
        <f>(117.6+117.6+58.2+122.6+122.6)/F154</f>
        <v>59.844444444444449</v>
      </c>
      <c r="I154" s="47">
        <f>F154*H154</f>
        <v>538.6</v>
      </c>
      <c r="J154" s="50" t="s">
        <v>118</v>
      </c>
      <c r="K154" s="52"/>
      <c r="L154" s="2"/>
    </row>
    <row r="155" spans="1:12" ht="18.75" x14ac:dyDescent="0.25">
      <c r="A155" s="9"/>
      <c r="B155" s="8"/>
      <c r="C155" s="4"/>
      <c r="D155" s="4" t="s">
        <v>188</v>
      </c>
      <c r="E155" s="37"/>
      <c r="F155" s="37"/>
      <c r="G155" s="13" t="s">
        <v>139</v>
      </c>
      <c r="H155" s="47"/>
      <c r="I155" s="47" t="s">
        <v>142</v>
      </c>
      <c r="J155" s="50"/>
      <c r="K155" s="52"/>
      <c r="L155" s="2"/>
    </row>
    <row r="156" spans="1:12" ht="18.75" x14ac:dyDescent="0.25">
      <c r="A156" s="9"/>
      <c r="B156" s="8"/>
      <c r="C156" s="4"/>
      <c r="D156" s="4" t="s">
        <v>198</v>
      </c>
      <c r="E156" s="37"/>
      <c r="F156" s="37"/>
      <c r="G156" s="13" t="s">
        <v>31</v>
      </c>
      <c r="H156" s="47"/>
      <c r="I156" s="47"/>
      <c r="J156" s="50"/>
      <c r="K156" s="52"/>
      <c r="L156" s="2"/>
    </row>
    <row r="157" spans="1:12" ht="18.75" x14ac:dyDescent="0.25">
      <c r="A157" s="9" t="s">
        <v>22</v>
      </c>
      <c r="B157" s="8"/>
      <c r="C157" s="4"/>
      <c r="D157" s="4" t="s">
        <v>77</v>
      </c>
      <c r="E157" s="37" t="s">
        <v>142</v>
      </c>
      <c r="F157" s="37" t="s">
        <v>142</v>
      </c>
      <c r="G157" s="13" t="s">
        <v>30</v>
      </c>
      <c r="H157" s="47" t="s">
        <v>142</v>
      </c>
      <c r="I157" s="47" t="s">
        <v>142</v>
      </c>
      <c r="J157" s="50"/>
      <c r="K157" s="52"/>
      <c r="L157" s="2"/>
    </row>
    <row r="158" spans="1:12" ht="18.75" x14ac:dyDescent="0.25">
      <c r="A158" s="41"/>
      <c r="B158" s="42"/>
      <c r="C158" s="20"/>
      <c r="D158" s="20"/>
      <c r="E158" s="40"/>
      <c r="F158" s="40"/>
      <c r="G158" s="29"/>
      <c r="H158" s="47"/>
      <c r="I158" s="55">
        <f>SUM(I150:I157)</f>
        <v>58739.6</v>
      </c>
      <c r="J158" s="50"/>
      <c r="K158" s="52"/>
      <c r="L158" s="2"/>
    </row>
    <row r="159" spans="1:12" ht="18.75" x14ac:dyDescent="0.3">
      <c r="A159" s="78" t="s">
        <v>79</v>
      </c>
      <c r="B159" s="79"/>
      <c r="C159" s="79"/>
      <c r="D159" s="79"/>
      <c r="E159" s="79"/>
      <c r="F159" s="79"/>
      <c r="G159" s="80"/>
      <c r="H159" s="54"/>
      <c r="I159" s="54"/>
      <c r="J159" s="50"/>
      <c r="K159" s="52"/>
      <c r="L159" s="2"/>
    </row>
    <row r="160" spans="1:12" ht="38.25" customHeight="1" x14ac:dyDescent="0.25">
      <c r="A160" s="9" t="s">
        <v>23</v>
      </c>
      <c r="B160" s="5"/>
      <c r="C160" s="4"/>
      <c r="D160" s="15" t="s">
        <v>144</v>
      </c>
      <c r="E160" s="37" t="s">
        <v>142</v>
      </c>
      <c r="F160" s="37" t="s">
        <v>142</v>
      </c>
      <c r="G160" s="13" t="s">
        <v>55</v>
      </c>
      <c r="H160" s="47" t="s">
        <v>142</v>
      </c>
      <c r="I160" s="47" t="s">
        <v>142</v>
      </c>
      <c r="J160" s="50"/>
      <c r="K160" s="52"/>
      <c r="L160" s="2"/>
    </row>
    <row r="161" spans="1:12" ht="38.25" customHeight="1" x14ac:dyDescent="0.25">
      <c r="A161" s="9"/>
      <c r="B161" s="5"/>
      <c r="C161" s="4"/>
      <c r="D161" s="15" t="s">
        <v>205</v>
      </c>
      <c r="E161" s="37"/>
      <c r="F161" s="37"/>
      <c r="G161" s="13" t="s">
        <v>31</v>
      </c>
      <c r="H161" s="47"/>
      <c r="I161" s="47"/>
      <c r="J161" s="50"/>
      <c r="K161" s="52"/>
      <c r="L161" s="2"/>
    </row>
    <row r="162" spans="1:12" ht="38.25" customHeight="1" x14ac:dyDescent="0.25">
      <c r="A162" s="9"/>
      <c r="B162" s="5"/>
      <c r="C162" s="4"/>
      <c r="D162" s="15" t="s">
        <v>212</v>
      </c>
      <c r="E162" s="37" t="s">
        <v>142</v>
      </c>
      <c r="F162" s="37">
        <f>1</f>
        <v>1</v>
      </c>
      <c r="G162" s="13" t="s">
        <v>31</v>
      </c>
      <c r="H162" s="47">
        <f>2040.4/F162</f>
        <v>2040.4</v>
      </c>
      <c r="I162" s="47">
        <f>F162*H162</f>
        <v>2040.4</v>
      </c>
      <c r="J162" s="50" t="s">
        <v>125</v>
      </c>
      <c r="K162" s="52"/>
      <c r="L162" s="2"/>
    </row>
    <row r="163" spans="1:12" ht="18.75" x14ac:dyDescent="0.25">
      <c r="A163" s="9" t="s">
        <v>24</v>
      </c>
      <c r="B163" s="5"/>
      <c r="C163" s="4"/>
      <c r="D163" s="4" t="s">
        <v>78</v>
      </c>
      <c r="E163" s="37" t="s">
        <v>142</v>
      </c>
      <c r="F163" s="37"/>
      <c r="G163" s="13" t="s">
        <v>55</v>
      </c>
      <c r="H163" s="47"/>
      <c r="I163" s="47" t="s">
        <v>142</v>
      </c>
      <c r="J163" s="50"/>
      <c r="K163" s="52"/>
      <c r="L163" s="2"/>
    </row>
    <row r="164" spans="1:12" ht="63" x14ac:dyDescent="0.25">
      <c r="A164" s="9"/>
      <c r="B164" s="5"/>
      <c r="C164" s="4"/>
      <c r="D164" s="15" t="s">
        <v>245</v>
      </c>
      <c r="E164" s="37"/>
      <c r="F164" s="37">
        <f>73.2</f>
        <v>73.2</v>
      </c>
      <c r="G164" s="13" t="s">
        <v>115</v>
      </c>
      <c r="H164" s="55">
        <f>13800.6/F164</f>
        <v>188.53278688524591</v>
      </c>
      <c r="I164" s="69">
        <f>F164*H164</f>
        <v>13800.600000000002</v>
      </c>
      <c r="J164" s="50" t="s">
        <v>125</v>
      </c>
      <c r="K164" s="52"/>
      <c r="L164" s="2"/>
    </row>
    <row r="165" spans="1:12" ht="31.5" x14ac:dyDescent="0.25">
      <c r="A165" s="9" t="s">
        <v>129</v>
      </c>
      <c r="B165" s="5"/>
      <c r="C165" s="4"/>
      <c r="D165" s="15" t="s">
        <v>153</v>
      </c>
      <c r="E165" s="37" t="s">
        <v>142</v>
      </c>
      <c r="F165" s="37"/>
      <c r="G165" s="13" t="s">
        <v>55</v>
      </c>
      <c r="H165" s="47"/>
      <c r="I165" s="47" t="s">
        <v>142</v>
      </c>
      <c r="J165" s="50"/>
      <c r="K165" s="52"/>
      <c r="L165" s="2"/>
    </row>
    <row r="166" spans="1:12" ht="18.75" x14ac:dyDescent="0.25">
      <c r="A166" s="9"/>
      <c r="B166" s="5"/>
      <c r="C166" s="4"/>
      <c r="D166" s="15" t="s">
        <v>169</v>
      </c>
      <c r="E166" s="37" t="s">
        <v>142</v>
      </c>
      <c r="F166" s="37"/>
      <c r="G166" s="13" t="s">
        <v>149</v>
      </c>
      <c r="H166" s="47"/>
      <c r="I166" s="47" t="s">
        <v>142</v>
      </c>
      <c r="J166" s="50"/>
      <c r="K166" s="52"/>
      <c r="L166" s="2"/>
    </row>
    <row r="167" spans="1:12" ht="18.75" x14ac:dyDescent="0.25">
      <c r="A167" s="9"/>
      <c r="B167" s="5"/>
      <c r="C167" s="4"/>
      <c r="D167" s="15" t="s">
        <v>206</v>
      </c>
      <c r="E167" s="37"/>
      <c r="F167" s="37"/>
      <c r="G167" s="13" t="s">
        <v>31</v>
      </c>
      <c r="H167" s="47"/>
      <c r="I167" s="47"/>
      <c r="J167" s="50"/>
      <c r="K167" s="52"/>
      <c r="L167" s="2"/>
    </row>
    <row r="168" spans="1:12" ht="18.75" x14ac:dyDescent="0.25">
      <c r="A168" s="9"/>
      <c r="B168" s="5"/>
      <c r="C168" s="4"/>
      <c r="D168" s="15" t="s">
        <v>213</v>
      </c>
      <c r="E168" s="37"/>
      <c r="F168" s="37">
        <f>8+48</f>
        <v>56</v>
      </c>
      <c r="G168" s="13" t="s">
        <v>149</v>
      </c>
      <c r="H168" s="55">
        <f>(2014+10611.6)/F168</f>
        <v>225.45714285714286</v>
      </c>
      <c r="I168" s="69">
        <f>F168*H168</f>
        <v>12625.6</v>
      </c>
      <c r="J168" s="50" t="s">
        <v>125</v>
      </c>
      <c r="K168" s="52"/>
      <c r="L168" s="2"/>
    </row>
    <row r="169" spans="1:12" ht="18.75" x14ac:dyDescent="0.25">
      <c r="A169" s="9"/>
      <c r="B169" s="5"/>
      <c r="C169" s="4"/>
      <c r="D169" s="15" t="s">
        <v>214</v>
      </c>
      <c r="E169" s="37"/>
      <c r="F169" s="37">
        <f>1</f>
        <v>1</v>
      </c>
      <c r="G169" s="13" t="s">
        <v>149</v>
      </c>
      <c r="H169" s="47">
        <f>537.8/F169</f>
        <v>537.79999999999995</v>
      </c>
      <c r="I169" s="69">
        <f>F169*H169</f>
        <v>537.79999999999995</v>
      </c>
      <c r="J169" s="50" t="s">
        <v>125</v>
      </c>
      <c r="K169" s="52"/>
      <c r="L169" s="2"/>
    </row>
    <row r="170" spans="1:12" ht="18.75" x14ac:dyDescent="0.25">
      <c r="A170" s="9"/>
      <c r="B170" s="5"/>
      <c r="C170" s="4"/>
      <c r="D170" s="15" t="s">
        <v>248</v>
      </c>
      <c r="E170" s="37"/>
      <c r="F170" s="37">
        <f>50</f>
        <v>50</v>
      </c>
      <c r="G170" s="13" t="s">
        <v>31</v>
      </c>
      <c r="H170" s="55">
        <f>7409.2/F170</f>
        <v>148.184</v>
      </c>
      <c r="I170" s="49">
        <f>F170*H170</f>
        <v>7409.2</v>
      </c>
      <c r="J170" s="50" t="s">
        <v>120</v>
      </c>
      <c r="K170" s="52"/>
      <c r="L170" s="2"/>
    </row>
    <row r="171" spans="1:12" ht="31.5" x14ac:dyDescent="0.25">
      <c r="A171" s="9"/>
      <c r="B171" s="5"/>
      <c r="C171" s="4"/>
      <c r="D171" s="15" t="s">
        <v>249</v>
      </c>
      <c r="E171" s="37"/>
      <c r="F171" s="37">
        <f>50</f>
        <v>50</v>
      </c>
      <c r="G171" s="13" t="s">
        <v>31</v>
      </c>
      <c r="H171" s="55">
        <f>95858.8/F171</f>
        <v>1917.1760000000002</v>
      </c>
      <c r="I171" s="49">
        <f>F171*H171</f>
        <v>95858.8</v>
      </c>
      <c r="J171" s="50" t="s">
        <v>120</v>
      </c>
      <c r="K171" s="52"/>
      <c r="L171" s="2"/>
    </row>
    <row r="172" spans="1:12" ht="18.75" x14ac:dyDescent="0.25">
      <c r="A172" s="9"/>
      <c r="B172" s="5"/>
      <c r="C172" s="4"/>
      <c r="D172" s="15" t="s">
        <v>183</v>
      </c>
      <c r="E172" s="37"/>
      <c r="F172" s="37"/>
      <c r="G172" s="13" t="s">
        <v>55</v>
      </c>
      <c r="H172" s="47"/>
      <c r="I172" s="47" t="s">
        <v>142</v>
      </c>
      <c r="J172" s="50"/>
      <c r="K172" s="52"/>
      <c r="L172" s="2"/>
    </row>
    <row r="173" spans="1:12" ht="18.75" x14ac:dyDescent="0.25">
      <c r="A173" s="9"/>
      <c r="B173" s="5"/>
      <c r="C173" s="4"/>
      <c r="D173" s="15" t="s">
        <v>108</v>
      </c>
      <c r="E173" s="30"/>
      <c r="F173" s="13">
        <f>4+34+2+8+6+4</f>
        <v>58</v>
      </c>
      <c r="G173" s="13" t="s">
        <v>55</v>
      </c>
      <c r="H173" s="57">
        <f>(672.4+5710+337.8+1369.4+1025.6+691.8)/F173</f>
        <v>169.08620689655172</v>
      </c>
      <c r="I173" s="50">
        <f t="shared" ref="I173" si="7">F173*H173</f>
        <v>9807</v>
      </c>
      <c r="J173" s="50" t="s">
        <v>118</v>
      </c>
      <c r="K173" s="52"/>
      <c r="L173" s="2"/>
    </row>
    <row r="174" spans="1:12" ht="18.75" x14ac:dyDescent="0.25">
      <c r="A174" s="9"/>
      <c r="B174" s="5"/>
      <c r="C174" s="4"/>
      <c r="D174" s="15" t="s">
        <v>143</v>
      </c>
      <c r="E174" s="37"/>
      <c r="F174" s="37"/>
      <c r="G174" s="13" t="s">
        <v>31</v>
      </c>
      <c r="H174" s="47"/>
      <c r="I174" s="47" t="s">
        <v>142</v>
      </c>
      <c r="J174" s="50"/>
      <c r="K174" s="52"/>
      <c r="L174" s="2"/>
    </row>
    <row r="175" spans="1:12" ht="18.75" x14ac:dyDescent="0.25">
      <c r="A175" s="9"/>
      <c r="B175" s="5"/>
      <c r="C175" s="4"/>
      <c r="D175" s="15" t="s">
        <v>266</v>
      </c>
      <c r="E175" s="37"/>
      <c r="F175" s="37">
        <v>1</v>
      </c>
      <c r="G175" s="13" t="s">
        <v>31</v>
      </c>
      <c r="H175" s="47">
        <f>305/F175</f>
        <v>305</v>
      </c>
      <c r="I175" s="47">
        <f>F175*H175</f>
        <v>305</v>
      </c>
      <c r="J175" s="50" t="s">
        <v>120</v>
      </c>
      <c r="K175" s="52"/>
      <c r="L175" s="2"/>
    </row>
    <row r="176" spans="1:12" ht="56.25" x14ac:dyDescent="0.25">
      <c r="A176" s="9" t="s">
        <v>109</v>
      </c>
      <c r="B176" s="5"/>
      <c r="C176" s="4"/>
      <c r="D176" s="15" t="s">
        <v>127</v>
      </c>
      <c r="E176" s="30"/>
      <c r="F176" s="13">
        <f>50+50+50+50+50+50+50+50+50+50+50+50</f>
        <v>600</v>
      </c>
      <c r="G176" s="13" t="s">
        <v>110</v>
      </c>
      <c r="H176" s="57">
        <f>(4436.8+4436.8+4436.8+4536.8+4536.8+4536.8+4656.2+4656.2+4656.2+4805+4805+4805)/F176</f>
        <v>92.173999999999992</v>
      </c>
      <c r="I176" s="50">
        <f>F176*H176</f>
        <v>55304.399999999994</v>
      </c>
      <c r="J176" s="50" t="s">
        <v>118</v>
      </c>
      <c r="K176" s="52"/>
      <c r="L176" s="2"/>
    </row>
    <row r="177" spans="1:12" ht="18.75" x14ac:dyDescent="0.25">
      <c r="A177" s="41"/>
      <c r="B177" s="20"/>
      <c r="C177" s="20"/>
      <c r="D177" s="28"/>
      <c r="E177" s="43"/>
      <c r="F177" s="44"/>
      <c r="G177" s="29"/>
      <c r="H177" s="60"/>
      <c r="I177" s="50">
        <f>SUM(I162:I176)</f>
        <v>197688.8</v>
      </c>
      <c r="J177" s="50"/>
      <c r="K177" s="52"/>
      <c r="L177" s="2"/>
    </row>
    <row r="178" spans="1:12" ht="18.75" x14ac:dyDescent="0.25">
      <c r="A178" s="87" t="s">
        <v>92</v>
      </c>
      <c r="B178" s="88"/>
      <c r="C178" s="88"/>
      <c r="D178" s="88"/>
      <c r="E178" s="88"/>
      <c r="F178" s="88"/>
      <c r="G178" s="89"/>
      <c r="H178" s="61"/>
      <c r="I178" s="54"/>
      <c r="J178" s="50"/>
      <c r="K178" s="52"/>
      <c r="L178" s="2"/>
    </row>
    <row r="179" spans="1:12" ht="18.75" x14ac:dyDescent="0.25">
      <c r="A179" s="24"/>
      <c r="B179" s="25"/>
      <c r="C179" s="25"/>
      <c r="D179" s="33" t="s">
        <v>119</v>
      </c>
      <c r="E179" s="37"/>
      <c r="F179" s="37"/>
      <c r="G179" s="35" t="s">
        <v>31</v>
      </c>
      <c r="H179" s="47"/>
      <c r="I179" s="47"/>
      <c r="J179" s="50"/>
      <c r="K179" s="52"/>
      <c r="L179" s="2"/>
    </row>
    <row r="180" spans="1:12" ht="63" x14ac:dyDescent="0.25">
      <c r="A180" s="9" t="s">
        <v>90</v>
      </c>
      <c r="B180" s="20"/>
      <c r="C180" s="20"/>
      <c r="D180" s="21" t="s">
        <v>121</v>
      </c>
      <c r="E180" s="34">
        <v>2382</v>
      </c>
      <c r="F180" s="13">
        <v>2382</v>
      </c>
      <c r="G180" s="29" t="s">
        <v>91</v>
      </c>
      <c r="H180" s="60">
        <v>4.8</v>
      </c>
      <c r="I180" s="50">
        <f>F180*H180*12</f>
        <v>137203.20000000001</v>
      </c>
      <c r="J180" s="50" t="s">
        <v>118</v>
      </c>
      <c r="K180" s="52"/>
      <c r="L180" s="2"/>
    </row>
    <row r="181" spans="1:12" ht="18.75" x14ac:dyDescent="0.25">
      <c r="A181" s="41"/>
      <c r="B181" s="20"/>
      <c r="C181" s="20"/>
      <c r="D181" s="28"/>
      <c r="E181" s="43"/>
      <c r="F181" s="44"/>
      <c r="G181" s="29"/>
      <c r="H181" s="60"/>
      <c r="I181" s="50">
        <f>SUM(I179:I180)</f>
        <v>137203.20000000001</v>
      </c>
      <c r="J181" s="50"/>
      <c r="K181" s="52"/>
      <c r="L181" s="2"/>
    </row>
    <row r="182" spans="1:12" ht="18.75" x14ac:dyDescent="0.3">
      <c r="A182" s="78" t="s">
        <v>80</v>
      </c>
      <c r="B182" s="79"/>
      <c r="C182" s="79"/>
      <c r="D182" s="79"/>
      <c r="E182" s="79"/>
      <c r="F182" s="79"/>
      <c r="G182" s="80"/>
      <c r="H182" s="58"/>
      <c r="I182" s="54"/>
      <c r="J182" s="50"/>
      <c r="K182" s="52"/>
      <c r="L182" s="2"/>
    </row>
    <row r="183" spans="1:12" ht="46.5" customHeight="1" x14ac:dyDescent="0.3">
      <c r="A183" s="31" t="s">
        <v>134</v>
      </c>
      <c r="B183" s="22"/>
      <c r="C183" s="22"/>
      <c r="D183" s="32" t="s">
        <v>133</v>
      </c>
      <c r="E183" s="13">
        <v>410</v>
      </c>
      <c r="F183" s="13">
        <v>410</v>
      </c>
      <c r="G183" s="13" t="s">
        <v>141</v>
      </c>
      <c r="H183" s="50">
        <v>13</v>
      </c>
      <c r="I183" s="50">
        <f>F183*H183*3</f>
        <v>15990</v>
      </c>
      <c r="J183" s="50" t="s">
        <v>152</v>
      </c>
      <c r="K183" s="52"/>
      <c r="L183" s="2"/>
    </row>
    <row r="184" spans="1:12" ht="18.75" x14ac:dyDescent="0.25">
      <c r="A184" s="9" t="s">
        <v>25</v>
      </c>
      <c r="B184" s="5"/>
      <c r="C184" s="4"/>
      <c r="D184" s="4" t="s">
        <v>76</v>
      </c>
      <c r="E184" s="37" t="s">
        <v>142</v>
      </c>
      <c r="F184" s="37" t="s">
        <v>142</v>
      </c>
      <c r="G184" s="14" t="s">
        <v>55</v>
      </c>
      <c r="H184" s="47" t="s">
        <v>142</v>
      </c>
      <c r="I184" s="47" t="s">
        <v>142</v>
      </c>
      <c r="J184" s="50"/>
      <c r="K184" s="52"/>
      <c r="L184" s="2"/>
    </row>
    <row r="185" spans="1:12" ht="47.25" x14ac:dyDescent="0.25">
      <c r="A185" s="9" t="s">
        <v>26</v>
      </c>
      <c r="B185" s="5"/>
      <c r="C185" s="4"/>
      <c r="D185" s="15" t="s">
        <v>28</v>
      </c>
      <c r="E185" s="37" t="s">
        <v>142</v>
      </c>
      <c r="F185" s="37" t="s">
        <v>142</v>
      </c>
      <c r="G185" s="14" t="s">
        <v>55</v>
      </c>
      <c r="H185" s="47" t="s">
        <v>142</v>
      </c>
      <c r="I185" s="47" t="s">
        <v>142</v>
      </c>
      <c r="J185" s="50"/>
      <c r="K185" s="52"/>
      <c r="L185" s="2"/>
    </row>
    <row r="186" spans="1:12" ht="31.5" x14ac:dyDescent="0.25">
      <c r="A186" s="9" t="s">
        <v>27</v>
      </c>
      <c r="B186" s="5"/>
      <c r="C186" s="4"/>
      <c r="D186" s="15" t="s">
        <v>75</v>
      </c>
      <c r="E186" s="37" t="s">
        <v>142</v>
      </c>
      <c r="F186" s="37" t="s">
        <v>142</v>
      </c>
      <c r="G186" s="14" t="s">
        <v>55</v>
      </c>
      <c r="H186" s="47" t="s">
        <v>142</v>
      </c>
      <c r="I186" s="47" t="s">
        <v>142</v>
      </c>
      <c r="J186" s="50"/>
      <c r="K186" s="52"/>
      <c r="L186" s="2"/>
    </row>
    <row r="187" spans="1:12" ht="18.75" x14ac:dyDescent="0.25">
      <c r="A187" s="41"/>
      <c r="B187" s="20"/>
      <c r="C187" s="20"/>
      <c r="D187" s="28"/>
      <c r="E187" s="40"/>
      <c r="F187" s="40"/>
      <c r="G187" s="12"/>
      <c r="H187" s="62"/>
      <c r="I187" s="62">
        <f>SUM(I183:I186)</f>
        <v>15990</v>
      </c>
      <c r="J187" s="50"/>
      <c r="K187" s="52"/>
      <c r="L187" s="2"/>
    </row>
    <row r="188" spans="1:12" ht="18.75" x14ac:dyDescent="0.3">
      <c r="A188" s="78" t="s">
        <v>85</v>
      </c>
      <c r="B188" s="79"/>
      <c r="C188" s="79"/>
      <c r="D188" s="79"/>
      <c r="E188" s="79"/>
      <c r="F188" s="79"/>
      <c r="G188" s="80"/>
      <c r="H188" s="63"/>
      <c r="I188" s="63"/>
      <c r="J188" s="63"/>
      <c r="K188" s="51"/>
      <c r="L188" s="2"/>
    </row>
    <row r="189" spans="1:12" ht="48" x14ac:dyDescent="0.3">
      <c r="A189" s="6" t="s">
        <v>67</v>
      </c>
      <c r="B189" s="6"/>
      <c r="C189" s="4"/>
      <c r="D189" s="15" t="s">
        <v>86</v>
      </c>
      <c r="E189" s="37" t="s">
        <v>142</v>
      </c>
      <c r="F189" s="37" t="s">
        <v>142</v>
      </c>
      <c r="G189" s="13" t="s">
        <v>30</v>
      </c>
      <c r="H189" s="47" t="s">
        <v>142</v>
      </c>
      <c r="I189" s="47" t="s">
        <v>142</v>
      </c>
      <c r="J189" s="54"/>
      <c r="K189" s="52"/>
      <c r="L189" s="2"/>
    </row>
    <row r="190" spans="1:12" ht="32.25" x14ac:dyDescent="0.3">
      <c r="A190" s="26"/>
      <c r="B190" s="27"/>
      <c r="C190" s="20"/>
      <c r="D190" s="28" t="s">
        <v>111</v>
      </c>
      <c r="E190" s="37">
        <v>1</v>
      </c>
      <c r="F190" s="37">
        <v>1</v>
      </c>
      <c r="G190" s="13" t="s">
        <v>112</v>
      </c>
      <c r="H190" s="47">
        <v>47936</v>
      </c>
      <c r="I190" s="64">
        <f>F190*H190</f>
        <v>47936</v>
      </c>
      <c r="J190" s="65" t="s">
        <v>120</v>
      </c>
      <c r="K190" s="52"/>
      <c r="L190" s="2"/>
    </row>
    <row r="191" spans="1:12" ht="18.75" x14ac:dyDescent="0.3">
      <c r="A191" s="26"/>
      <c r="B191" s="27"/>
      <c r="C191" s="20"/>
      <c r="D191" s="28"/>
      <c r="E191" s="40"/>
      <c r="F191" s="40"/>
      <c r="G191" s="29"/>
      <c r="H191" s="66"/>
      <c r="I191" s="67">
        <f>SUM(I190)</f>
        <v>47936</v>
      </c>
      <c r="J191" s="68"/>
      <c r="K191" s="52"/>
      <c r="L191" s="2"/>
    </row>
    <row r="192" spans="1:12" ht="18.75" x14ac:dyDescent="0.3">
      <c r="A192" s="78" t="s">
        <v>100</v>
      </c>
      <c r="B192" s="79"/>
      <c r="C192" s="79"/>
      <c r="D192" s="79"/>
      <c r="E192" s="79"/>
      <c r="F192" s="79"/>
      <c r="G192" s="80"/>
      <c r="H192" s="81"/>
      <c r="I192" s="82"/>
      <c r="J192" s="82"/>
      <c r="K192" s="52"/>
      <c r="L192" s="2"/>
    </row>
    <row r="193" spans="1:12" ht="32.25" x14ac:dyDescent="0.3">
      <c r="A193" s="31" t="s">
        <v>150</v>
      </c>
      <c r="B193" s="22"/>
      <c r="C193" s="22"/>
      <c r="D193" s="36" t="s">
        <v>136</v>
      </c>
      <c r="E193" s="13"/>
      <c r="F193" s="13">
        <f>1+1</f>
        <v>2</v>
      </c>
      <c r="G193" s="13" t="s">
        <v>137</v>
      </c>
      <c r="H193" s="50">
        <f>(800+800)/F193</f>
        <v>800</v>
      </c>
      <c r="I193" s="71">
        <f t="shared" ref="I193:I196" si="8">F193*H193</f>
        <v>1600</v>
      </c>
      <c r="J193" s="50" t="s">
        <v>126</v>
      </c>
      <c r="K193" s="52"/>
      <c r="L193" s="2"/>
    </row>
    <row r="194" spans="1:12" ht="48" x14ac:dyDescent="0.3">
      <c r="A194" s="22"/>
      <c r="B194" s="22"/>
      <c r="C194" s="22"/>
      <c r="D194" s="36" t="s">
        <v>138</v>
      </c>
      <c r="E194" s="37"/>
      <c r="F194" s="37">
        <f>320+20+40+20</f>
        <v>400</v>
      </c>
      <c r="G194" s="13" t="s">
        <v>139</v>
      </c>
      <c r="H194" s="47">
        <f>(208000+13000+26000+14000)/F194</f>
        <v>652.5</v>
      </c>
      <c r="I194" s="49">
        <f>F194*H194</f>
        <v>261000</v>
      </c>
      <c r="J194" s="50" t="s">
        <v>126</v>
      </c>
      <c r="K194" s="52"/>
      <c r="L194" s="2"/>
    </row>
    <row r="195" spans="1:12" ht="32.25" x14ac:dyDescent="0.3">
      <c r="A195" s="22"/>
      <c r="B195" s="22"/>
      <c r="C195" s="22"/>
      <c r="D195" s="36" t="s">
        <v>209</v>
      </c>
      <c r="E195" s="13"/>
      <c r="F195" s="13">
        <f>1110+300+210+120+270</f>
        <v>2010</v>
      </c>
      <c r="G195" s="13" t="s">
        <v>140</v>
      </c>
      <c r="H195" s="57">
        <f>(55500+15000+13500+4126+12374)/F195</f>
        <v>50</v>
      </c>
      <c r="I195" s="71">
        <f t="shared" si="8"/>
        <v>100500</v>
      </c>
      <c r="J195" s="50" t="s">
        <v>126</v>
      </c>
      <c r="K195" s="52"/>
      <c r="L195" s="2"/>
    </row>
    <row r="196" spans="1:12" ht="32.25" x14ac:dyDescent="0.3">
      <c r="A196" s="22"/>
      <c r="B196" s="22"/>
      <c r="C196" s="22"/>
      <c r="D196" s="36" t="s">
        <v>210</v>
      </c>
      <c r="E196" s="13"/>
      <c r="F196" s="13">
        <f>750+90+270+90+420</f>
        <v>1620</v>
      </c>
      <c r="G196" s="13" t="s">
        <v>140</v>
      </c>
      <c r="H196" s="57">
        <f>(31253+3750+11251+3000+19249)/F196</f>
        <v>42.285802469135803</v>
      </c>
      <c r="I196" s="71">
        <f t="shared" si="8"/>
        <v>68503</v>
      </c>
      <c r="J196" s="50" t="s">
        <v>126</v>
      </c>
      <c r="K196" s="52"/>
      <c r="L196" s="2"/>
    </row>
    <row r="197" spans="1:12" ht="32.25" x14ac:dyDescent="0.3">
      <c r="A197" s="22"/>
      <c r="B197" s="22"/>
      <c r="C197" s="22"/>
      <c r="D197" s="36" t="s">
        <v>224</v>
      </c>
      <c r="E197" s="13"/>
      <c r="F197" s="13">
        <f>17.6</f>
        <v>17.600000000000001</v>
      </c>
      <c r="G197" s="13" t="s">
        <v>115</v>
      </c>
      <c r="H197" s="57">
        <f>2135.6/F197</f>
        <v>121.34090909090908</v>
      </c>
      <c r="I197" s="70">
        <f t="shared" ref="I197" si="9">F197*H197</f>
        <v>2135.6</v>
      </c>
      <c r="J197" s="50" t="s">
        <v>125</v>
      </c>
      <c r="K197" s="52"/>
      <c r="L197" s="2"/>
    </row>
    <row r="198" spans="1:12" ht="32.25" x14ac:dyDescent="0.3">
      <c r="A198" s="22"/>
      <c r="B198" s="22"/>
      <c r="C198" s="22"/>
      <c r="D198" s="36" t="s">
        <v>247</v>
      </c>
      <c r="E198" s="13"/>
      <c r="F198" s="13">
        <v>1.484</v>
      </c>
      <c r="G198" s="13" t="s">
        <v>246</v>
      </c>
      <c r="H198" s="57">
        <f>5061.4/F198</f>
        <v>3410.6469002695417</v>
      </c>
      <c r="I198" s="70">
        <f t="shared" ref="I198:I204" si="10">F198*H198</f>
        <v>5061.3999999999996</v>
      </c>
      <c r="J198" s="50" t="s">
        <v>125</v>
      </c>
      <c r="K198" s="52"/>
      <c r="L198" s="2"/>
    </row>
    <row r="199" spans="1:12" ht="63.75" x14ac:dyDescent="0.3">
      <c r="A199" s="22"/>
      <c r="B199" s="22"/>
      <c r="C199" s="22"/>
      <c r="D199" s="36" t="s">
        <v>252</v>
      </c>
      <c r="E199" s="13"/>
      <c r="F199" s="13">
        <f>1</f>
        <v>1</v>
      </c>
      <c r="G199" s="13" t="s">
        <v>146</v>
      </c>
      <c r="H199" s="50">
        <f>10347/F199</f>
        <v>10347</v>
      </c>
      <c r="I199" s="70">
        <f t="shared" si="10"/>
        <v>10347</v>
      </c>
      <c r="J199" s="53" t="s">
        <v>125</v>
      </c>
      <c r="K199" s="52"/>
      <c r="L199" s="2"/>
    </row>
    <row r="200" spans="1:12" ht="32.25" x14ac:dyDescent="0.3">
      <c r="A200" s="22"/>
      <c r="B200" s="22"/>
      <c r="C200" s="22"/>
      <c r="D200" s="36" t="s">
        <v>253</v>
      </c>
      <c r="E200" s="13"/>
      <c r="F200" s="13">
        <f>1</f>
        <v>1</v>
      </c>
      <c r="G200" s="13" t="s">
        <v>146</v>
      </c>
      <c r="H200" s="50">
        <f>31761/F200</f>
        <v>31761</v>
      </c>
      <c r="I200" s="70">
        <f t="shared" si="10"/>
        <v>31761</v>
      </c>
      <c r="J200" s="53" t="s">
        <v>125</v>
      </c>
      <c r="K200" s="52"/>
      <c r="L200" s="2"/>
    </row>
    <row r="201" spans="1:12" ht="18.75" x14ac:dyDescent="0.3">
      <c r="A201" s="22"/>
      <c r="B201" s="22"/>
      <c r="C201" s="22"/>
      <c r="D201" s="36" t="s">
        <v>257</v>
      </c>
      <c r="E201" s="13"/>
      <c r="F201" s="13">
        <v>1</v>
      </c>
      <c r="G201" s="13" t="s">
        <v>31</v>
      </c>
      <c r="H201" s="50">
        <f>6200/F201</f>
        <v>6200</v>
      </c>
      <c r="I201" s="70">
        <f t="shared" si="10"/>
        <v>6200</v>
      </c>
      <c r="J201" s="53" t="s">
        <v>120</v>
      </c>
      <c r="K201" s="52"/>
      <c r="L201" s="2"/>
    </row>
    <row r="202" spans="1:12" ht="18.75" x14ac:dyDescent="0.3">
      <c r="A202" s="22"/>
      <c r="B202" s="22"/>
      <c r="C202" s="22"/>
      <c r="D202" s="36" t="s">
        <v>259</v>
      </c>
      <c r="E202" s="13"/>
      <c r="F202" s="13">
        <v>2</v>
      </c>
      <c r="G202" s="13" t="s">
        <v>31</v>
      </c>
      <c r="H202" s="50">
        <f>4178/F202</f>
        <v>2089</v>
      </c>
      <c r="I202" s="70">
        <f t="shared" si="10"/>
        <v>4178</v>
      </c>
      <c r="J202" s="53" t="s">
        <v>120</v>
      </c>
      <c r="K202" s="52"/>
      <c r="L202" s="2"/>
    </row>
    <row r="203" spans="1:12" ht="18.75" x14ac:dyDescent="0.3">
      <c r="A203" s="22"/>
      <c r="B203" s="22"/>
      <c r="C203" s="22"/>
      <c r="D203" s="36" t="s">
        <v>260</v>
      </c>
      <c r="E203" s="13"/>
      <c r="F203" s="13">
        <v>1</v>
      </c>
      <c r="G203" s="13" t="s">
        <v>31</v>
      </c>
      <c r="H203" s="50">
        <f>9888.4/F203</f>
        <v>9888.4</v>
      </c>
      <c r="I203" s="70">
        <f t="shared" si="10"/>
        <v>9888.4</v>
      </c>
      <c r="J203" s="53" t="s">
        <v>120</v>
      </c>
      <c r="K203" s="52"/>
      <c r="L203" s="2"/>
    </row>
    <row r="204" spans="1:12" ht="18.75" x14ac:dyDescent="0.3">
      <c r="A204" s="31" t="s">
        <v>164</v>
      </c>
      <c r="B204" s="14"/>
      <c r="C204" s="14"/>
      <c r="D204" s="36" t="s">
        <v>203</v>
      </c>
      <c r="E204" s="13"/>
      <c r="F204" s="13">
        <f>1+1</f>
        <v>2</v>
      </c>
      <c r="G204" s="13" t="s">
        <v>31</v>
      </c>
      <c r="H204" s="50">
        <f>(3730.8+3787.8)/F204</f>
        <v>3759.3</v>
      </c>
      <c r="I204" s="70">
        <f t="shared" si="10"/>
        <v>7518.6</v>
      </c>
      <c r="J204" s="53" t="s">
        <v>125</v>
      </c>
      <c r="K204" s="52"/>
      <c r="L204" s="2"/>
    </row>
    <row r="205" spans="1:12" ht="18.75" x14ac:dyDescent="0.3">
      <c r="A205" s="31"/>
      <c r="B205" s="14"/>
      <c r="C205" s="14"/>
      <c r="D205" s="36"/>
      <c r="E205" s="13"/>
      <c r="F205" s="13"/>
      <c r="G205" s="13"/>
      <c r="H205" s="50"/>
      <c r="I205" s="57">
        <f>SUM(I193:I204)</f>
        <v>508693</v>
      </c>
      <c r="J205" s="53"/>
      <c r="K205" s="52"/>
      <c r="L205" s="2"/>
    </row>
    <row r="206" spans="1:12" ht="18.75" x14ac:dyDescent="0.3">
      <c r="A206" s="73" t="s">
        <v>272</v>
      </c>
      <c r="B206" s="14"/>
      <c r="C206" s="14"/>
      <c r="D206" s="39"/>
      <c r="E206" s="14"/>
      <c r="F206" s="14"/>
      <c r="G206" s="35"/>
      <c r="H206" s="14"/>
      <c r="I206" s="74">
        <f>I19+I20+I21+I28+I30+I40+I41+I42+I43+I44+I45+I46+I47+I48+I51+I53+I54+I55+I56+I57+I58+I59+I61+I62+I63+I64+I66+I70+I71+I72+I73+I74+I80+I81+I95+I96+I97+I100+I103+I104+I105+I108+I113+I114+I115+I116+I117+I118+I119+I120+I121+I124+I139+I145+I146+I151+I164+I168+I169+I170+I171+I193+I194+I195+I196+I197+I198+I199+I200+I201+I202+I203+I204</f>
        <v>2340686.8000000007</v>
      </c>
      <c r="J206" s="14"/>
      <c r="L206" s="2"/>
    </row>
    <row r="207" spans="1:12" ht="15.75" x14ac:dyDescent="0.25">
      <c r="A207" s="45" t="s">
        <v>207</v>
      </c>
      <c r="B207" s="23"/>
      <c r="C207" s="23"/>
      <c r="D207" s="39"/>
      <c r="E207" s="13"/>
      <c r="F207" s="13"/>
      <c r="G207" s="35"/>
      <c r="H207" s="13"/>
      <c r="I207" s="46">
        <f>I37+I77+I109+I127+I148+I158+I177+I181+I187+I191+I205</f>
        <v>3251542</v>
      </c>
      <c r="J207" s="14"/>
      <c r="K207" s="2"/>
      <c r="L207" s="2"/>
    </row>
    <row r="208" spans="1:12" ht="99.75" customHeight="1" x14ac:dyDescent="0.25">
      <c r="A208" s="75" t="s">
        <v>107</v>
      </c>
      <c r="B208" s="75"/>
      <c r="C208" s="75"/>
      <c r="D208" s="75"/>
      <c r="E208" s="75"/>
      <c r="F208" s="75"/>
      <c r="G208" s="75"/>
      <c r="H208" s="75"/>
      <c r="I208" s="75"/>
      <c r="J208" s="75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48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2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16"/>
      <c r="E215" s="16"/>
      <c r="F215" s="2"/>
      <c r="G215" s="2"/>
      <c r="H215" s="2"/>
      <c r="I215" s="2"/>
      <c r="J215" s="2"/>
      <c r="K215" s="2"/>
      <c r="L215" s="2"/>
    </row>
    <row r="216" spans="1:12" ht="15.75" x14ac:dyDescent="0.25">
      <c r="A216" s="2"/>
      <c r="B216" s="2"/>
      <c r="C216" s="2"/>
      <c r="D216" s="16"/>
      <c r="E216" s="16"/>
      <c r="F216" s="2"/>
      <c r="G216" s="2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16"/>
      <c r="E217" s="16"/>
      <c r="F217" s="2"/>
      <c r="G217" s="2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16"/>
      <c r="E218" s="16"/>
      <c r="F218" s="2"/>
      <c r="G218" s="2"/>
      <c r="H218" s="2"/>
      <c r="I218" s="2"/>
      <c r="J218" s="2"/>
      <c r="K218" s="2"/>
      <c r="L218" s="2"/>
    </row>
    <row r="219" spans="1:12" ht="15.75" x14ac:dyDescent="0.25">
      <c r="A219" s="2"/>
      <c r="B219" s="2"/>
      <c r="C219" s="2"/>
      <c r="D219" s="16"/>
      <c r="E219" s="16"/>
      <c r="F219" s="2"/>
      <c r="G219" s="2"/>
      <c r="H219" s="2"/>
      <c r="I219" s="2"/>
      <c r="J219" s="2"/>
      <c r="K219" s="2"/>
      <c r="L219" s="2"/>
    </row>
    <row r="220" spans="1:12" ht="15.75" x14ac:dyDescent="0.25">
      <c r="A220" s="2"/>
      <c r="B220" s="2"/>
      <c r="C220" s="2"/>
      <c r="D220" s="16"/>
      <c r="E220" s="16"/>
      <c r="F220" s="2"/>
      <c r="G220" s="2"/>
      <c r="H220" s="2"/>
      <c r="I220" s="2"/>
      <c r="J220" s="2"/>
      <c r="K220" s="2"/>
      <c r="L220" s="2"/>
    </row>
    <row r="221" spans="1:12" ht="15.75" x14ac:dyDescent="0.25">
      <c r="A221" s="2"/>
      <c r="B221" s="2"/>
      <c r="C221" s="2"/>
      <c r="D221" s="16"/>
      <c r="E221" s="16"/>
      <c r="F221" s="2"/>
      <c r="G221" s="2"/>
      <c r="H221" s="2"/>
      <c r="I221" s="2"/>
      <c r="J221" s="2"/>
      <c r="K221" s="2"/>
      <c r="L221" s="2"/>
    </row>
    <row r="222" spans="1:12" ht="15.75" x14ac:dyDescent="0.25">
      <c r="A222" s="2"/>
      <c r="B222" s="2"/>
      <c r="C222" s="2"/>
      <c r="D222" s="16"/>
      <c r="E222" s="16"/>
      <c r="F222" s="2"/>
      <c r="G222" s="2"/>
      <c r="H222" s="2"/>
      <c r="I222" s="2"/>
      <c r="J222" s="2"/>
      <c r="K222" s="2"/>
      <c r="L222" s="2"/>
    </row>
    <row r="223" spans="1:12" ht="15.75" x14ac:dyDescent="0.25">
      <c r="A223" s="2"/>
      <c r="B223" s="2"/>
      <c r="C223" s="2"/>
      <c r="D223" s="16"/>
      <c r="E223" s="16"/>
      <c r="F223" s="2"/>
      <c r="G223" s="2"/>
      <c r="H223" s="2"/>
      <c r="I223" s="2"/>
      <c r="J223" s="2"/>
      <c r="K223" s="2"/>
      <c r="L223" s="2"/>
    </row>
    <row r="224" spans="1:12" ht="15.75" x14ac:dyDescent="0.25">
      <c r="A224" s="2"/>
      <c r="B224" s="2"/>
      <c r="C224" s="2"/>
      <c r="D224" s="16"/>
      <c r="E224" s="16"/>
      <c r="F224" s="2"/>
      <c r="G224" s="2"/>
      <c r="H224" s="2"/>
      <c r="I224" s="2"/>
      <c r="J224" s="2"/>
      <c r="K224" s="2"/>
      <c r="L224" s="2"/>
    </row>
    <row r="225" spans="1:12" ht="15.75" x14ac:dyDescent="0.25">
      <c r="A225" s="2"/>
      <c r="B225" s="2"/>
      <c r="C225" s="2"/>
      <c r="D225" s="16"/>
      <c r="E225" s="16"/>
      <c r="F225" s="2"/>
      <c r="G225" s="2"/>
      <c r="H225" s="2"/>
      <c r="I225" s="2"/>
      <c r="J225" s="2"/>
      <c r="K225" s="2"/>
      <c r="L225" s="2"/>
    </row>
    <row r="226" spans="1:12" ht="15.75" x14ac:dyDescent="0.25">
      <c r="A226" s="2"/>
      <c r="B226" s="2"/>
      <c r="C226" s="2"/>
      <c r="D226" s="16"/>
      <c r="E226" s="16"/>
      <c r="F226" s="2"/>
      <c r="G226" s="2"/>
      <c r="H226" s="2"/>
      <c r="I226" s="2"/>
      <c r="J226" s="2"/>
      <c r="K226" s="2"/>
      <c r="L226" s="2"/>
    </row>
    <row r="227" spans="1:12" ht="15.75" x14ac:dyDescent="0.25">
      <c r="A227" s="2"/>
      <c r="B227" s="2"/>
      <c r="C227" s="2"/>
      <c r="D227" s="16"/>
      <c r="E227" s="16"/>
      <c r="F227" s="2"/>
      <c r="G227" s="2"/>
      <c r="H227" s="2"/>
      <c r="I227" s="2"/>
      <c r="J227" s="2"/>
      <c r="K227" s="2"/>
      <c r="L227" s="2"/>
    </row>
    <row r="228" spans="1:12" ht="15.75" x14ac:dyDescent="0.25">
      <c r="A228" s="2"/>
      <c r="B228" s="2"/>
      <c r="C228" s="2"/>
      <c r="D228" s="16"/>
      <c r="E228" s="16"/>
      <c r="F228" s="2"/>
      <c r="G228" s="2"/>
      <c r="H228" s="2"/>
      <c r="I228" s="2"/>
      <c r="J228" s="2"/>
      <c r="K228" s="2"/>
      <c r="L228" s="2"/>
    </row>
    <row r="229" spans="1:12" ht="15.75" x14ac:dyDescent="0.25">
      <c r="A229" s="2"/>
      <c r="B229" s="2"/>
      <c r="C229" s="2"/>
      <c r="D229" s="16"/>
      <c r="E229" s="16"/>
      <c r="F229" s="2"/>
      <c r="G229" s="2"/>
      <c r="H229" s="2"/>
      <c r="I229" s="2"/>
      <c r="J229" s="2"/>
      <c r="K229" s="2"/>
      <c r="L229" s="2"/>
    </row>
    <row r="230" spans="1:12" ht="15.75" x14ac:dyDescent="0.25">
      <c r="A230" s="2"/>
      <c r="B230" s="2"/>
      <c r="C230" s="2"/>
      <c r="D230" s="16"/>
      <c r="E230" s="16"/>
      <c r="F230" s="2"/>
      <c r="G230" s="2"/>
      <c r="H230" s="2"/>
      <c r="I230" s="2"/>
      <c r="J230" s="2"/>
      <c r="K230" s="2"/>
      <c r="L230" s="2"/>
    </row>
    <row r="231" spans="1:12" ht="15.75" x14ac:dyDescent="0.25">
      <c r="A231" s="2"/>
      <c r="B231" s="2"/>
      <c r="C231" s="2"/>
      <c r="D231" s="16"/>
      <c r="E231" s="16"/>
      <c r="F231" s="2"/>
      <c r="G231" s="2"/>
      <c r="H231" s="2"/>
      <c r="I231" s="2"/>
      <c r="J231" s="2"/>
      <c r="K231" s="2"/>
      <c r="L231" s="2"/>
    </row>
    <row r="232" spans="1:12" ht="15.75" x14ac:dyDescent="0.25">
      <c r="A232" s="2"/>
      <c r="B232" s="2"/>
      <c r="C232" s="2"/>
      <c r="D232" s="16"/>
      <c r="E232" s="16"/>
      <c r="F232" s="2"/>
      <c r="G232" s="2"/>
      <c r="H232" s="2"/>
      <c r="I232" s="2"/>
      <c r="J232" s="2"/>
      <c r="K232" s="2"/>
      <c r="L232" s="2"/>
    </row>
    <row r="233" spans="1:12" ht="15.75" x14ac:dyDescent="0.25">
      <c r="A233" s="2"/>
      <c r="B233" s="2"/>
      <c r="C233" s="2"/>
      <c r="D233" s="16"/>
      <c r="E233" s="16"/>
      <c r="F233" s="2"/>
      <c r="G233" s="2"/>
      <c r="H233" s="2"/>
      <c r="I233" s="2"/>
      <c r="J233" s="2"/>
      <c r="K233" s="2"/>
      <c r="L233" s="2"/>
    </row>
    <row r="234" spans="1:12" ht="15.75" x14ac:dyDescent="0.25">
      <c r="A234" s="2"/>
      <c r="B234" s="2"/>
      <c r="C234" s="2"/>
      <c r="D234" s="16"/>
      <c r="E234" s="16"/>
      <c r="F234" s="2"/>
      <c r="G234" s="2"/>
      <c r="H234" s="2"/>
      <c r="I234" s="2"/>
      <c r="J234" s="2"/>
      <c r="K234" s="2"/>
      <c r="L234" s="2"/>
    </row>
  </sheetData>
  <mergeCells count="16">
    <mergeCell ref="A208:J208"/>
    <mergeCell ref="A2:J2"/>
    <mergeCell ref="A192:G192"/>
    <mergeCell ref="H192:J192"/>
    <mergeCell ref="I1:J1"/>
    <mergeCell ref="A128:G128"/>
    <mergeCell ref="A159:G159"/>
    <mergeCell ref="A188:G188"/>
    <mergeCell ref="A38:G38"/>
    <mergeCell ref="A16:G16"/>
    <mergeCell ref="A4:G4"/>
    <mergeCell ref="A178:G178"/>
    <mergeCell ref="A78:G78"/>
    <mergeCell ref="A110:G110"/>
    <mergeCell ref="A149:G149"/>
    <mergeCell ref="A182:G182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2024-03-06T11:26:39Z</dcterms:modified>
</cp:coreProperties>
</file>