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87" i="1" l="1"/>
  <c r="I185" i="1"/>
  <c r="I152" i="1"/>
  <c r="I147" i="1"/>
  <c r="I133" i="1"/>
  <c r="I123" i="1"/>
  <c r="I111" i="1"/>
  <c r="I89" i="1"/>
  <c r="I69" i="1"/>
  <c r="I42" i="1"/>
  <c r="I20" i="1"/>
  <c r="H65" i="1" l="1"/>
  <c r="F165" i="1"/>
  <c r="H165" i="1" s="1"/>
  <c r="F167" i="1"/>
  <c r="H167" i="1" s="1"/>
  <c r="F166" i="1"/>
  <c r="H166" i="1" s="1"/>
  <c r="F125" i="1"/>
  <c r="H125" i="1" s="1"/>
  <c r="F146" i="1"/>
  <c r="H146" i="1" s="1"/>
  <c r="H169" i="1"/>
  <c r="I169" i="1" s="1"/>
  <c r="F131" i="1"/>
  <c r="H131" i="1" s="1"/>
  <c r="F184" i="1"/>
  <c r="H184" i="1" s="1"/>
  <c r="I182" i="1"/>
  <c r="I178" i="1"/>
  <c r="H45" i="1" l="1"/>
  <c r="F45" i="1"/>
  <c r="F102" i="1"/>
  <c r="H102" i="1" s="1"/>
  <c r="F144" i="1"/>
  <c r="H144" i="1" s="1"/>
  <c r="F33" i="1"/>
  <c r="H33" i="1" s="1"/>
  <c r="H32" i="1"/>
  <c r="I32" i="1" s="1"/>
  <c r="H31" i="1"/>
  <c r="I31" i="1" s="1"/>
  <c r="H149" i="1"/>
  <c r="I149" i="1" s="1"/>
  <c r="F130" i="1"/>
  <c r="H130" i="1" s="1"/>
  <c r="I131" i="1" l="1"/>
  <c r="I33" i="1"/>
  <c r="H177" i="1"/>
  <c r="I177" i="1" s="1"/>
  <c r="H176" i="1"/>
  <c r="I176" i="1" s="1"/>
  <c r="H175" i="1"/>
  <c r="I175" i="1" s="1"/>
  <c r="H174" i="1"/>
  <c r="I174" i="1" s="1"/>
  <c r="F173" i="1"/>
  <c r="H173" i="1" s="1"/>
  <c r="H172" i="1"/>
  <c r="I172" i="1" s="1"/>
  <c r="F171" i="1"/>
  <c r="H171" i="1" s="1"/>
  <c r="H170" i="1"/>
  <c r="F170" i="1"/>
  <c r="H109" i="1"/>
  <c r="F116" i="1"/>
  <c r="I116" i="1" s="1"/>
  <c r="H120" i="1"/>
  <c r="F119" i="1"/>
  <c r="H119" i="1" s="1"/>
  <c r="H115" i="1"/>
  <c r="F115" i="1"/>
  <c r="H81" i="1"/>
  <c r="F81" i="1"/>
  <c r="H129" i="1"/>
  <c r="F129" i="1"/>
  <c r="I115" i="1" l="1"/>
  <c r="I170" i="1"/>
  <c r="I171" i="1"/>
  <c r="I173" i="1"/>
  <c r="I109" i="1"/>
  <c r="I120" i="1"/>
  <c r="F8" i="1"/>
  <c r="I119" i="1"/>
  <c r="F83" i="1"/>
  <c r="H83" i="1" s="1"/>
  <c r="F82" i="1"/>
  <c r="I130" i="1"/>
  <c r="I129" i="1"/>
  <c r="F74" i="1"/>
  <c r="H74" i="1" s="1"/>
  <c r="F73" i="1"/>
  <c r="H73" i="1" s="1"/>
  <c r="H181" i="1"/>
  <c r="I181" i="1" s="1"/>
  <c r="F52" i="1"/>
  <c r="H52" i="1" s="1"/>
  <c r="F128" i="1"/>
  <c r="H128" i="1" s="1"/>
  <c r="H127" i="1"/>
  <c r="F127" i="1"/>
  <c r="I127" i="1" l="1"/>
  <c r="H82" i="1"/>
  <c r="I82" i="1" s="1"/>
  <c r="H8" i="1"/>
  <c r="I8" i="1" s="1"/>
  <c r="I128" i="1"/>
  <c r="H180" i="1"/>
  <c r="H179" i="1"/>
  <c r="I180" i="1"/>
  <c r="F30" i="1"/>
  <c r="H30" i="1" s="1"/>
  <c r="F64" i="1"/>
  <c r="H64" i="1" s="1"/>
  <c r="I184" i="1"/>
  <c r="F150" i="1"/>
  <c r="H150" i="1" s="1"/>
  <c r="H183" i="1"/>
  <c r="I183" i="1" s="1"/>
  <c r="I165" i="1"/>
  <c r="F47" i="1"/>
  <c r="H47" i="1" s="1"/>
  <c r="F6" i="1"/>
  <c r="H6" i="1" s="1"/>
  <c r="F46" i="1"/>
  <c r="F164" i="1"/>
  <c r="I164" i="1" s="1"/>
  <c r="F48" i="1"/>
  <c r="H48" i="1" s="1"/>
  <c r="F7" i="1"/>
  <c r="H7" i="1" s="1"/>
  <c r="F168" i="1"/>
  <c r="H168" i="1" s="1"/>
  <c r="F126" i="1"/>
  <c r="H126" i="1" s="1"/>
  <c r="F118" i="1"/>
  <c r="F80" i="1"/>
  <c r="H80" i="1" s="1"/>
  <c r="F72" i="1"/>
  <c r="H72" i="1" s="1"/>
  <c r="H118" i="1" l="1"/>
  <c r="I118" i="1" s="1"/>
  <c r="I168" i="1"/>
  <c r="H46" i="1"/>
  <c r="I46" i="1" s="1"/>
  <c r="I30" i="1"/>
  <c r="I80" i="1"/>
  <c r="I126" i="1"/>
  <c r="I7" i="1"/>
  <c r="I64" i="1"/>
  <c r="I179" i="1"/>
  <c r="I52" i="1"/>
  <c r="I166" i="1"/>
  <c r="I167" i="1"/>
  <c r="I65" i="1" l="1"/>
  <c r="I45" i="1"/>
  <c r="I125" i="1"/>
  <c r="I6" i="1" l="1"/>
  <c r="I48" i="1"/>
  <c r="I47" i="1"/>
  <c r="I102" i="1"/>
  <c r="I81" i="1"/>
  <c r="I83" i="1" l="1"/>
  <c r="I150" i="1"/>
  <c r="I72" i="1"/>
  <c r="I186" i="1" l="1"/>
  <c r="I74" i="1"/>
  <c r="I73" i="1"/>
  <c r="I146" i="1"/>
  <c r="I144" i="1"/>
  <c r="I154" i="1" l="1"/>
  <c r="I158" i="1" s="1"/>
  <c r="I151" i="1"/>
</calcChain>
</file>

<file path=xl/sharedStrings.xml><?xml version="1.0" encoding="utf-8"?>
<sst xmlns="http://schemas.openxmlformats.org/spreadsheetml/2006/main" count="737" uniqueCount="255">
  <si>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</si>
  <si>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</si>
  <si>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</si>
  <si>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</si>
  <si>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</si>
  <si>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</si>
  <si>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</si>
  <si>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</si>
  <si>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</si>
  <si>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</si>
  <si>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</si>
  <si>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</si>
  <si>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</si>
  <si>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</si>
  <si>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</si>
  <si>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</si>
  <si>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</si>
  <si>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</si>
  <si>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</si>
  <si>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</si>
  <si>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</si>
  <si>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</si>
  <si>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</si>
  <si>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</si>
  <si>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</si>
  <si>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</si>
  <si>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</si>
  <si>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</si>
  <si>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</si>
  <si>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</si>
  <si>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</si>
  <si>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</si>
  <si>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</si>
  <si>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</si>
  <si>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</si>
  <si>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</si>
  <si>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</si>
  <si>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</si>
  <si>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</si>
  <si>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</si>
  <si>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</si>
  <si>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</si>
  <si>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</si>
  <si>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</si>
  <si>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</si>
  <si>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</si>
  <si>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</si>
  <si>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</si>
  <si>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</si>
  <si>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</si>
  <si>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</si>
  <si>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</si>
  <si>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</si>
  <si>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</si>
  <si>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</si>
  <si>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</si>
  <si>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</si>
  <si>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</si>
  <si>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</si>
  <si>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</si>
  <si>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</si>
  <si>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</si>
  <si>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</si>
  <si>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</si>
  <si>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</si>
  <si>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</si>
  <si>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</si>
  <si>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</si>
  <si>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</si>
  <si>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</si>
  <si>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</si>
  <si>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</si>
  <si>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</si>
  <si>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</si>
  <si>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</si>
  <si>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</si>
  <si>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</si>
  <si>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</si>
  <si>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</si>
  <si>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</si>
  <si>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</si>
  <si>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</si>
  <si>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</si>
  <si>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</si>
  <si>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</si>
  <si>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</si>
  <si>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</si>
  <si>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</si>
  <si>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</si>
  <si>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</si>
  <si>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</si>
  <si>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</si>
  <si>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</si>
  <si>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</si>
  <si>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</si>
  <si>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</si>
  <si>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</si>
  <si>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</si>
  <si>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</si>
  <si>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</si>
  <si>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</si>
  <si>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</si>
  <si>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</si>
  <si>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</si>
  <si>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</si>
  <si>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</si>
  <si>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</si>
  <si>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</si>
  <si>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</si>
  <si>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</si>
  <si>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</si>
  <si>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</si>
  <si>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</si>
  <si>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</si>
  <si>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</si>
  <si>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прочистка фильтра диам. 50мм</t>
  </si>
  <si>
    <t>м2</t>
  </si>
  <si>
    <t>очистка канализационной сети внутренней</t>
  </si>
  <si>
    <t>квартиры</t>
  </si>
  <si>
    <t>1,2,3,4 квартал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</si>
  <si>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</si>
  <si>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</si>
  <si>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</si>
  <si>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</si>
  <si>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</si>
  <si>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</si>
  <si>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</si>
  <si>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</si>
  <si>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</si>
  <si>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</si>
  <si>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</si>
  <si>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</si>
  <si>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</si>
  <si>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</si>
  <si>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</si>
  <si>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</si>
  <si>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</si>
  <si>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</si>
  <si>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</si>
  <si>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соед.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</si>
  <si>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</si>
  <si>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</si>
  <si>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</si>
  <si>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</si>
  <si>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</si>
  <si>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</si>
  <si>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</si>
  <si>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</si>
  <si>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</si>
  <si>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</si>
  <si>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фильтр</t>
  </si>
  <si>
    <t>наличие и герметичность приборов отопления</t>
  </si>
  <si>
    <t>услуга</t>
  </si>
  <si>
    <t>смена кранов шаровых диам. 15,20,25,32мм</t>
  </si>
  <si>
    <t>смена внутренних трубопроводов из стальных труб диам. 20мм</t>
  </si>
  <si>
    <t>смена внутренних трубопроводов из стальных труб диам. 25мм</t>
  </si>
  <si>
    <t>установка решеток на приямки</t>
  </si>
  <si>
    <t>кг</t>
  </si>
  <si>
    <t>провод групповой осветительных сетей в защитной оболочке</t>
  </si>
  <si>
    <t>м</t>
  </si>
  <si>
    <t>благоустройство</t>
  </si>
  <si>
    <t>1,3,4квартал</t>
  </si>
  <si>
    <t>смена выключателей</t>
  </si>
  <si>
    <t>прочистка фильтра диам. 100мм</t>
  </si>
  <si>
    <t>прочистка клапанов обратных диам.50мм</t>
  </si>
  <si>
    <t>установка хомутов диам трубопроводов до 100мм</t>
  </si>
  <si>
    <t>водоотлив из подвала электрическими насосами</t>
  </si>
  <si>
    <t>врезка в действующие внутренние сети трубопроводов отопления и водоснабжения диам. 15мм</t>
  </si>
  <si>
    <t>врезка в действующие внутренние сети трубопроводов отопления и водоснабжения диам. 20мм</t>
  </si>
  <si>
    <t>врезка в действующие внутренние сети трубопроводов отопления и водоснабжения диам. 50мм</t>
  </si>
  <si>
    <t>разборка трубопроводов из водогазопроводных труб диам. до 32мм</t>
  </si>
  <si>
    <t>сбора узла трубопровода водоснабжения и отопления из полипропиленовых труб диам. 25мм</t>
  </si>
  <si>
    <t>смена сгонов у трубопроводов диам. до 20мм</t>
  </si>
  <si>
    <t>сгона</t>
  </si>
  <si>
    <t>смена сгонов у трубопроводов диам. до 32мм</t>
  </si>
  <si>
    <t>смена задвижек диам. 100мм</t>
  </si>
  <si>
    <t>установка насосов</t>
  </si>
  <si>
    <t>установка фекальных насосов</t>
  </si>
  <si>
    <t>смена шарового крана смывного бачка</t>
  </si>
  <si>
    <t>регулировка смывного бачка</t>
  </si>
  <si>
    <t>смена обрешетки с прозорами из брусков толщиной 50мм и выше</t>
  </si>
  <si>
    <t>прокладка внутренних трубопроводов водоснабжения и отопления из полипропиленовых труб:диам. 63мм</t>
  </si>
  <si>
    <t>ремонт дверных полотен со сменой брусков обвязки горизонтальных на 2 сопряжения</t>
  </si>
  <si>
    <t>брусок</t>
  </si>
  <si>
    <t>ремонт дверных коробок узких со снятием полотна</t>
  </si>
  <si>
    <t>коробка</t>
  </si>
  <si>
    <t>ремонт примыканий рулонных и мастичных кровель к стенам и парапетам высотой до 600ммм без фартуков</t>
  </si>
  <si>
    <t>коврик коричневая трава</t>
  </si>
  <si>
    <t>простая масляная окраска ранее окрашенных бордюров без подготовки с расчисткой старой краски до 10%</t>
  </si>
  <si>
    <t>установка кранов диам. 15,25,32мм</t>
  </si>
  <si>
    <t>смена кранов шаровых диам. 50мм</t>
  </si>
  <si>
    <t>установка клапанов диам. 50мм</t>
  </si>
  <si>
    <t>установка и крепление наличников</t>
  </si>
  <si>
    <t>герметизация отливов кв 150</t>
  </si>
  <si>
    <t>демонтаж и монтаж металлической двери</t>
  </si>
  <si>
    <t>окраска водно-дисперсионными акриловыми составами улучшенная по штукатурке стен</t>
  </si>
  <si>
    <t>окраска масляными составами ранее окрашенных поверхностей труб за 1 раз</t>
  </si>
  <si>
    <t>затирка швов между плитками ранее облицованной поверхности с применением сухой смеси</t>
  </si>
  <si>
    <t>ремонт штукатурки откосов внутри здания по камню и бетону</t>
  </si>
  <si>
    <t>установка замков на почтовые ящики</t>
  </si>
  <si>
    <t>демонтаж светильников в подвесных потолках</t>
  </si>
  <si>
    <t>установка светильников в подвесных потолках</t>
  </si>
  <si>
    <t>короба пластмассовые шириной до 40мм</t>
  </si>
  <si>
    <t>ремонт облицовки из керамических глазурованных плиток на стенах со сменой плиток в одном месте более 10штук</t>
  </si>
  <si>
    <t>облицовка дверных откосов декоративным пластиком</t>
  </si>
  <si>
    <t>наклеивание сетки штукатурной по готовому основанию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</si>
  <si>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</si>
  <si>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ул.Заречная, дом 8, корпус 2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</si>
  <si>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</si>
  <si>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</si>
  <si>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врезка в действующие внутренние сети трубопроводов отопления и водоснабжения диам. 25мм</t>
  </si>
  <si>
    <t>1 квартал</t>
  </si>
  <si>
    <t>коврик влаговпитывающий</t>
  </si>
  <si>
    <t xml:space="preserve">ремонт кровельного покрытия </t>
  </si>
  <si>
    <t>регулировка  дверного доводчика к дверям</t>
  </si>
  <si>
    <t>смена дверных приборов:щеколды</t>
  </si>
  <si>
    <t>смена дверных приборов:ручки-скобы</t>
  </si>
  <si>
    <t>смена дверных приборов:замки врезные</t>
  </si>
  <si>
    <t>подготовка почвы под цветники</t>
  </si>
  <si>
    <t>очистка помещений от строительного мусора</t>
  </si>
  <si>
    <t>т</t>
  </si>
  <si>
    <t>ежемесячная доплата консьержам</t>
  </si>
  <si>
    <t>мес</t>
  </si>
  <si>
    <t>ремонт внутренней поверхности кирпичных стен при глубине заделки в 1 кирпич площадью в одном месте до 1м2</t>
  </si>
  <si>
    <t>смена керамических коврово-мозаичных плиток в полах до 10шт</t>
  </si>
  <si>
    <t>ремонт ограждений из нержавеющей стали на стойках</t>
  </si>
  <si>
    <t>посадка цветов в вазоны</t>
  </si>
  <si>
    <t>уход за газонами</t>
  </si>
  <si>
    <t>сбора узла трубопровода водоснабжения и отопления из полипропиленовых труб диам. 63мм</t>
  </si>
  <si>
    <t>установка дорожных знаков бесфундаментных: на металлических стойках на готовое основание</t>
  </si>
  <si>
    <t>очистка внутренней поверхности:теплообменного аппарата</t>
  </si>
  <si>
    <t>гидравлическое испытание аппарата работающего под давлением</t>
  </si>
  <si>
    <t>смена задвижек диаметром 50мм на шаровые краны</t>
  </si>
  <si>
    <t>работы по ремонту мягкой кровли  и устройству новой водосточной пластиковой воронки с подогревом</t>
  </si>
  <si>
    <t>смена гибких подводок</t>
  </si>
  <si>
    <t>смена задвижек диаметром 100мм на шаровые краны</t>
  </si>
  <si>
    <t>прокладка внутренних трубопроводов водоснабжения и отопления из полипропиленовых труб:диам. 40мм</t>
  </si>
  <si>
    <t>лестница</t>
  </si>
  <si>
    <t>очистка вручную поверхности фасадов от перхловиниловых и масляных красок с земли и лесов</t>
  </si>
  <si>
    <t>огрунтовка ранее окрашенных фасадов под окраску перхлорвиниловыми красками простых с земли и лесов</t>
  </si>
  <si>
    <t>шпатлевка ранее окрашенных фасадов под окраску перхлорвиниловыми красками простых с земли и лесов</t>
  </si>
  <si>
    <t>окраска перхлорвиниловыми красками по подготовленной поверхности фасадов простых за 2 раза с земли и лесов</t>
  </si>
  <si>
    <t>контейнерная площадка</t>
  </si>
  <si>
    <t>резка стального профилипрованного листа</t>
  </si>
  <si>
    <t xml:space="preserve">монтаж площадок </t>
  </si>
  <si>
    <t>монтаж кровельного покрытия из профилированного листа</t>
  </si>
  <si>
    <t>окраска масляными составами ранее окрашенных больших металлических поверхностей за 2 раза</t>
  </si>
  <si>
    <t>смена дверных приборов замки врезные</t>
  </si>
  <si>
    <t>устройство оснований и покрытия из песчано-гравийной смсми толщиной 12см</t>
  </si>
  <si>
    <t xml:space="preserve">укладка металлической сетки </t>
  </si>
  <si>
    <t xml:space="preserve">устройство стяжек бетонных </t>
  </si>
  <si>
    <t>справка о техническом состоянии здания</t>
  </si>
  <si>
    <t>коврик ячеистый</t>
  </si>
  <si>
    <t>укаладка металлического накладного профиля(порога)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</si>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</sst>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2" fontId="1" fillId="0" borderId="0" xfId="0" applyNumberFormat="1" applyFont="1"/>
    <xf numFmtId="164" fontId="1" fillId="0" borderId="0" xfId="0" applyNumberFormat="1" applyFont="1"/>
    <xf numFmtId="2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topLeftCell="D184" zoomScale="91" zoomScaleNormal="91" workbookViewId="0">
      <selection activeCell="I190" sqref="I190:J193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1" width="10.7109375" style="1" bestFit="1" customWidth="1"/>
    <col min="12" max="16384" width="8.85546875" style="1"/>
  </cols>
  <sheetData>
    <row r="1" spans="1:12" ht="51.75" customHeight="1" x14ac:dyDescent="0.25">
      <c r="I1" s="74" t="s">
        <v>98</v>
      </c>
      <c r="J1" s="74"/>
    </row>
    <row r="2" spans="1:12" ht="70.5" customHeight="1" x14ac:dyDescent="0.25">
      <c r="A2" s="69" t="s">
        <v>207</v>
      </c>
      <c r="B2" s="70"/>
      <c r="C2" s="70"/>
      <c r="D2" s="70"/>
      <c r="E2" s="70"/>
      <c r="F2" s="70"/>
      <c r="G2" s="70"/>
      <c r="H2" s="70"/>
      <c r="I2" s="70"/>
      <c r="J2" s="70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75" t="s">
        <v>89</v>
      </c>
      <c r="B4" s="76"/>
      <c r="C4" s="76"/>
      <c r="D4" s="76"/>
      <c r="E4" s="76"/>
      <c r="F4" s="76"/>
      <c r="G4" s="77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127</v>
      </c>
      <c r="E5" s="41" t="s">
        <v>146</v>
      </c>
      <c r="F5" s="41" t="s">
        <v>146</v>
      </c>
      <c r="G5" s="13" t="s">
        <v>116</v>
      </c>
      <c r="H5" s="41" t="s">
        <v>146</v>
      </c>
      <c r="I5" s="41" t="s">
        <v>146</v>
      </c>
      <c r="J5" s="13"/>
      <c r="K5" s="2"/>
      <c r="L5" s="2"/>
    </row>
    <row r="6" spans="1:12" ht="18.75" x14ac:dyDescent="0.3">
      <c r="A6" s="6"/>
      <c r="B6" s="5"/>
      <c r="C6" s="4"/>
      <c r="D6" s="15" t="s">
        <v>123</v>
      </c>
      <c r="E6" s="41"/>
      <c r="F6" s="41">
        <f>30</f>
        <v>30</v>
      </c>
      <c r="G6" s="13" t="s">
        <v>116</v>
      </c>
      <c r="H6" s="44">
        <f>952.6/F6</f>
        <v>31.753333333333334</v>
      </c>
      <c r="I6" s="57">
        <f>F6*H6</f>
        <v>952.6</v>
      </c>
      <c r="J6" s="13" t="s">
        <v>128</v>
      </c>
      <c r="K6" s="2"/>
      <c r="L6" s="2"/>
    </row>
    <row r="7" spans="1:12" ht="18.75" x14ac:dyDescent="0.3">
      <c r="A7" s="6"/>
      <c r="B7" s="5"/>
      <c r="C7" s="4"/>
      <c r="D7" s="15" t="s">
        <v>213</v>
      </c>
      <c r="E7" s="41" t="s">
        <v>146</v>
      </c>
      <c r="F7" s="41">
        <f>1</f>
        <v>1</v>
      </c>
      <c r="G7" s="13" t="s">
        <v>116</v>
      </c>
      <c r="H7" s="41">
        <f>419.4/F7</f>
        <v>419.4</v>
      </c>
      <c r="I7" s="57">
        <f>F7*H7</f>
        <v>419.4</v>
      </c>
      <c r="J7" s="13" t="s">
        <v>211</v>
      </c>
      <c r="K7" s="2"/>
      <c r="L7" s="2"/>
    </row>
    <row r="8" spans="1:12" ht="48" x14ac:dyDescent="0.3">
      <c r="A8" s="6"/>
      <c r="B8" s="5"/>
      <c r="C8" s="4"/>
      <c r="D8" s="15" t="s">
        <v>233</v>
      </c>
      <c r="E8" s="41" t="s">
        <v>146</v>
      </c>
      <c r="F8" s="41">
        <f>1</f>
        <v>1</v>
      </c>
      <c r="G8" s="13" t="s">
        <v>152</v>
      </c>
      <c r="H8" s="41">
        <f>537038/F8</f>
        <v>537038</v>
      </c>
      <c r="I8" s="57">
        <f>F8*H8</f>
        <v>537038</v>
      </c>
      <c r="J8" s="13" t="s">
        <v>120</v>
      </c>
      <c r="K8" s="2"/>
      <c r="L8" s="2"/>
    </row>
    <row r="9" spans="1:12" ht="48" x14ac:dyDescent="0.3">
      <c r="A9" s="6"/>
      <c r="B9" s="5"/>
      <c r="C9" s="4"/>
      <c r="D9" s="15" t="s">
        <v>186</v>
      </c>
      <c r="E9" s="41" t="s">
        <v>146</v>
      </c>
      <c r="F9" s="41" t="s">
        <v>146</v>
      </c>
      <c r="G9" s="13" t="s">
        <v>30</v>
      </c>
      <c r="H9" s="41" t="s">
        <v>146</v>
      </c>
      <c r="I9" s="41" t="s">
        <v>146</v>
      </c>
      <c r="J9" s="13"/>
      <c r="K9" s="2"/>
      <c r="L9" s="2"/>
    </row>
    <row r="10" spans="1:12" ht="35.25" customHeight="1" x14ac:dyDescent="0.3">
      <c r="A10" s="6" t="s">
        <v>1</v>
      </c>
      <c r="B10" s="5"/>
      <c r="C10" s="4"/>
      <c r="D10" s="15" t="s">
        <v>39</v>
      </c>
      <c r="E10" s="41"/>
      <c r="F10" s="41"/>
      <c r="G10" s="13" t="s">
        <v>31</v>
      </c>
      <c r="H10" s="41"/>
      <c r="I10" s="41"/>
      <c r="J10" s="13"/>
      <c r="K10" s="2"/>
      <c r="L10" s="2"/>
    </row>
    <row r="11" spans="1:12" ht="35.25" customHeight="1" x14ac:dyDescent="0.3">
      <c r="A11" s="6"/>
      <c r="B11" s="5"/>
      <c r="C11" s="4"/>
      <c r="D11" s="15" t="s">
        <v>193</v>
      </c>
      <c r="E11" s="41"/>
      <c r="F11" s="41"/>
      <c r="G11" s="13" t="s">
        <v>152</v>
      </c>
      <c r="H11" s="41"/>
      <c r="I11" s="41"/>
      <c r="J11" s="13"/>
      <c r="K11" s="2"/>
      <c r="L11" s="2"/>
    </row>
    <row r="12" spans="1:12" ht="28.5" customHeight="1" x14ac:dyDescent="0.3">
      <c r="A12" s="6" t="s">
        <v>2</v>
      </c>
      <c r="B12" s="5"/>
      <c r="C12" s="4"/>
      <c r="D12" s="15" t="s">
        <v>39</v>
      </c>
      <c r="E12" s="41" t="s">
        <v>146</v>
      </c>
      <c r="F12" s="41" t="s">
        <v>146</v>
      </c>
      <c r="G12" s="13" t="s">
        <v>30</v>
      </c>
      <c r="H12" s="41" t="s">
        <v>146</v>
      </c>
      <c r="I12" s="41" t="s">
        <v>146</v>
      </c>
      <c r="J12" s="5"/>
      <c r="K12" s="2"/>
      <c r="L12" s="2"/>
    </row>
    <row r="13" spans="1:12" ht="18.75" x14ac:dyDescent="0.3">
      <c r="A13" s="7" t="s">
        <v>3</v>
      </c>
      <c r="B13" s="5"/>
      <c r="C13" s="4"/>
      <c r="D13" s="15" t="s">
        <v>38</v>
      </c>
      <c r="E13" s="41" t="s">
        <v>146</v>
      </c>
      <c r="F13" s="41" t="s">
        <v>146</v>
      </c>
      <c r="G13" s="13" t="s">
        <v>30</v>
      </c>
      <c r="H13" s="41" t="s">
        <v>146</v>
      </c>
      <c r="I13" s="41" t="s">
        <v>146</v>
      </c>
      <c r="J13" s="5"/>
      <c r="K13" s="2"/>
      <c r="L13" s="2"/>
    </row>
    <row r="14" spans="1:12" ht="32.25" x14ac:dyDescent="0.3">
      <c r="A14" s="6" t="s">
        <v>4</v>
      </c>
      <c r="B14" s="5"/>
      <c r="C14" s="4"/>
      <c r="D14" s="15" t="s">
        <v>37</v>
      </c>
      <c r="E14" s="41" t="s">
        <v>146</v>
      </c>
      <c r="F14" s="41" t="s">
        <v>146</v>
      </c>
      <c r="G14" s="13" t="s">
        <v>30</v>
      </c>
      <c r="H14" s="41" t="s">
        <v>146</v>
      </c>
      <c r="I14" s="41" t="s">
        <v>146</v>
      </c>
      <c r="J14" s="5"/>
      <c r="K14" s="2"/>
      <c r="L14" s="2"/>
    </row>
    <row r="15" spans="1:12" ht="32.25" x14ac:dyDescent="0.3">
      <c r="A15" s="6"/>
      <c r="B15" s="5"/>
      <c r="C15" s="4"/>
      <c r="D15" s="15" t="s">
        <v>180</v>
      </c>
      <c r="E15" s="41" t="s">
        <v>146</v>
      </c>
      <c r="F15" s="41" t="s">
        <v>146</v>
      </c>
      <c r="G15" s="13" t="s">
        <v>116</v>
      </c>
      <c r="H15" s="41" t="s">
        <v>146</v>
      </c>
      <c r="I15" s="41" t="s">
        <v>146</v>
      </c>
      <c r="J15" s="13"/>
      <c r="K15" s="2"/>
      <c r="L15" s="2"/>
    </row>
    <row r="16" spans="1:12" ht="18.75" x14ac:dyDescent="0.3">
      <c r="A16" s="6" t="s">
        <v>5</v>
      </c>
      <c r="B16" s="5"/>
      <c r="C16" s="4"/>
      <c r="D16" s="4" t="s">
        <v>88</v>
      </c>
      <c r="E16" s="41" t="s">
        <v>146</v>
      </c>
      <c r="F16" s="41" t="s">
        <v>146</v>
      </c>
      <c r="G16" s="13" t="s">
        <v>31</v>
      </c>
      <c r="H16" s="41" t="s">
        <v>146</v>
      </c>
      <c r="I16" s="41" t="s">
        <v>146</v>
      </c>
      <c r="J16" s="13"/>
      <c r="K16" s="2"/>
      <c r="L16" s="2"/>
    </row>
    <row r="17" spans="1:12" ht="37.5" x14ac:dyDescent="0.3">
      <c r="A17" s="6" t="s">
        <v>6</v>
      </c>
      <c r="B17" s="5"/>
      <c r="C17" s="4"/>
      <c r="D17" s="4" t="s">
        <v>36</v>
      </c>
      <c r="E17" s="41" t="s">
        <v>146</v>
      </c>
      <c r="F17" s="41" t="s">
        <v>146</v>
      </c>
      <c r="G17" s="14" t="s">
        <v>31</v>
      </c>
      <c r="H17" s="41" t="s">
        <v>146</v>
      </c>
      <c r="I17" s="41" t="s">
        <v>146</v>
      </c>
      <c r="J17" s="5"/>
      <c r="K17" s="2"/>
      <c r="L17" s="2"/>
    </row>
    <row r="18" spans="1:12" ht="32.25" x14ac:dyDescent="0.3">
      <c r="A18" s="6" t="s">
        <v>64</v>
      </c>
      <c r="B18" s="5"/>
      <c r="C18" s="4"/>
      <c r="D18" s="15" t="s">
        <v>53</v>
      </c>
      <c r="E18" s="41" t="s">
        <v>146</v>
      </c>
      <c r="F18" s="41" t="s">
        <v>146</v>
      </c>
      <c r="G18" s="13" t="s">
        <v>30</v>
      </c>
      <c r="H18" s="41" t="s">
        <v>146</v>
      </c>
      <c r="I18" s="41" t="s">
        <v>146</v>
      </c>
      <c r="J18" s="5"/>
      <c r="L18" s="2"/>
    </row>
    <row r="19" spans="1:12" ht="27" customHeight="1" x14ac:dyDescent="0.3">
      <c r="A19" s="6" t="s">
        <v>7</v>
      </c>
      <c r="B19" s="5"/>
      <c r="C19" s="4"/>
      <c r="D19" s="15" t="s">
        <v>34</v>
      </c>
      <c r="E19" s="41" t="s">
        <v>146</v>
      </c>
      <c r="F19" s="41" t="s">
        <v>146</v>
      </c>
      <c r="G19" s="13" t="s">
        <v>30</v>
      </c>
      <c r="H19" s="41" t="s">
        <v>146</v>
      </c>
      <c r="I19" s="41" t="s">
        <v>146</v>
      </c>
      <c r="J19" s="5"/>
      <c r="K19" s="2"/>
      <c r="L19" s="2"/>
    </row>
    <row r="20" spans="1:12" ht="27" customHeight="1" x14ac:dyDescent="0.3">
      <c r="A20" s="28"/>
      <c r="B20" s="22"/>
      <c r="C20" s="22"/>
      <c r="D20" s="30"/>
      <c r="E20" s="46"/>
      <c r="F20" s="46"/>
      <c r="G20" s="31"/>
      <c r="H20" s="41"/>
      <c r="I20" s="41">
        <f>SUM(I6:I19)</f>
        <v>538410</v>
      </c>
      <c r="J20" s="5"/>
      <c r="K20" s="2"/>
      <c r="L20" s="2"/>
    </row>
    <row r="21" spans="1:12" ht="18.75" x14ac:dyDescent="0.3">
      <c r="A21" s="75" t="s">
        <v>57</v>
      </c>
      <c r="B21" s="76"/>
      <c r="C21" s="76"/>
      <c r="D21" s="76"/>
      <c r="E21" s="76"/>
      <c r="F21" s="76"/>
      <c r="G21" s="77"/>
      <c r="H21" s="14"/>
      <c r="I21" s="5"/>
      <c r="J21" s="5"/>
      <c r="L21" s="2"/>
    </row>
    <row r="22" spans="1:12" ht="18.75" x14ac:dyDescent="0.3">
      <c r="A22" s="6" t="s">
        <v>19</v>
      </c>
      <c r="B22" s="5"/>
      <c r="C22" s="4"/>
      <c r="D22" s="4" t="s">
        <v>97</v>
      </c>
      <c r="E22" s="41" t="s">
        <v>146</v>
      </c>
      <c r="F22" s="41" t="s">
        <v>146</v>
      </c>
      <c r="G22" s="14" t="s">
        <v>55</v>
      </c>
      <c r="H22" s="41" t="s">
        <v>146</v>
      </c>
      <c r="I22" s="41" t="s">
        <v>146</v>
      </c>
      <c r="J22" s="5"/>
      <c r="L22" s="2"/>
    </row>
    <row r="23" spans="1:12" ht="18.75" x14ac:dyDescent="0.3">
      <c r="A23" s="6" t="s">
        <v>13</v>
      </c>
      <c r="B23" s="5"/>
      <c r="C23" s="4"/>
      <c r="D23" s="4" t="s">
        <v>42</v>
      </c>
      <c r="E23" s="41" t="s">
        <v>146</v>
      </c>
      <c r="F23" s="41" t="s">
        <v>146</v>
      </c>
      <c r="G23" s="14" t="s">
        <v>54</v>
      </c>
      <c r="H23" s="41" t="s">
        <v>146</v>
      </c>
      <c r="I23" s="41" t="s">
        <v>146</v>
      </c>
      <c r="J23" s="5"/>
      <c r="L23" s="2"/>
    </row>
    <row r="24" spans="1:12" ht="18.75" x14ac:dyDescent="0.3">
      <c r="A24" s="6" t="s">
        <v>9</v>
      </c>
      <c r="B24" s="5"/>
      <c r="C24" s="4"/>
      <c r="D24" s="4" t="s">
        <v>35</v>
      </c>
      <c r="E24" s="41" t="s">
        <v>146</v>
      </c>
      <c r="F24" s="41" t="s">
        <v>146</v>
      </c>
      <c r="G24" s="14" t="s">
        <v>54</v>
      </c>
      <c r="H24" s="41" t="s">
        <v>146</v>
      </c>
      <c r="I24" s="41" t="s">
        <v>146</v>
      </c>
      <c r="J24" s="5"/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1" t="s">
        <v>146</v>
      </c>
      <c r="F25" s="41" t="s">
        <v>146</v>
      </c>
      <c r="G25" s="14" t="s">
        <v>54</v>
      </c>
      <c r="H25" s="41" t="s">
        <v>146</v>
      </c>
      <c r="I25" s="41" t="s">
        <v>146</v>
      </c>
      <c r="J25" s="5"/>
      <c r="K25" s="2"/>
      <c r="L25" s="2"/>
    </row>
    <row r="26" spans="1:12" ht="18.75" x14ac:dyDescent="0.3">
      <c r="A26" s="6" t="s">
        <v>11</v>
      </c>
      <c r="B26" s="5"/>
      <c r="C26" s="4"/>
      <c r="D26" s="4" t="s">
        <v>40</v>
      </c>
      <c r="E26" s="41" t="s">
        <v>146</v>
      </c>
      <c r="F26" s="41" t="s">
        <v>146</v>
      </c>
      <c r="G26" s="14" t="s">
        <v>54</v>
      </c>
      <c r="H26" s="41" t="s">
        <v>146</v>
      </c>
      <c r="I26" s="41" t="s">
        <v>146</v>
      </c>
      <c r="J26" s="5"/>
      <c r="K26" s="2"/>
      <c r="L26" s="2"/>
    </row>
    <row r="27" spans="1:12" ht="18.75" x14ac:dyDescent="0.3">
      <c r="A27" s="6"/>
      <c r="B27" s="5"/>
      <c r="C27" s="4"/>
      <c r="D27" s="4" t="s">
        <v>156</v>
      </c>
      <c r="E27" s="41"/>
      <c r="F27" s="41"/>
      <c r="G27" s="14" t="s">
        <v>157</v>
      </c>
      <c r="H27" s="41"/>
      <c r="I27" s="41"/>
      <c r="J27" s="13"/>
      <c r="K27" s="2"/>
      <c r="L27" s="2"/>
    </row>
    <row r="28" spans="1:12" ht="18.75" x14ac:dyDescent="0.3">
      <c r="A28" s="6" t="s">
        <v>8</v>
      </c>
      <c r="B28" s="5"/>
      <c r="C28" s="4"/>
      <c r="D28" s="4" t="s">
        <v>32</v>
      </c>
      <c r="E28" s="41" t="s">
        <v>146</v>
      </c>
      <c r="F28" s="41" t="s">
        <v>146</v>
      </c>
      <c r="G28" s="13" t="s">
        <v>30</v>
      </c>
      <c r="H28" s="41" t="s">
        <v>146</v>
      </c>
      <c r="I28" s="41" t="s">
        <v>146</v>
      </c>
      <c r="J28" s="5"/>
      <c r="K28" s="2"/>
      <c r="L28" s="2"/>
    </row>
    <row r="29" spans="1:12" ht="24.75" customHeight="1" x14ac:dyDescent="0.3">
      <c r="A29" s="6" t="s">
        <v>12</v>
      </c>
      <c r="B29" s="5"/>
      <c r="C29" s="4"/>
      <c r="D29" s="15" t="s">
        <v>41</v>
      </c>
      <c r="E29" s="41" t="s">
        <v>146</v>
      </c>
      <c r="F29" s="41" t="s">
        <v>146</v>
      </c>
      <c r="G29" s="14" t="s">
        <v>54</v>
      </c>
      <c r="H29" s="41" t="s">
        <v>146</v>
      </c>
      <c r="I29" s="41" t="s">
        <v>146</v>
      </c>
      <c r="J29" s="5"/>
      <c r="K29" s="2"/>
      <c r="L29" s="2"/>
    </row>
    <row r="30" spans="1:12" ht="39.75" customHeight="1" x14ac:dyDescent="0.3">
      <c r="A30" s="6"/>
      <c r="B30" s="5"/>
      <c r="C30" s="4"/>
      <c r="D30" s="15" t="s">
        <v>225</v>
      </c>
      <c r="E30" s="41" t="s">
        <v>146</v>
      </c>
      <c r="F30" s="41">
        <f>1</f>
        <v>1</v>
      </c>
      <c r="G30" s="14" t="s">
        <v>152</v>
      </c>
      <c r="H30" s="41">
        <f>25000/F30</f>
        <v>25000</v>
      </c>
      <c r="I30" s="57">
        <f>F30*H30</f>
        <v>25000</v>
      </c>
      <c r="J30" s="13" t="s">
        <v>126</v>
      </c>
      <c r="K30" s="2"/>
      <c r="L30" s="2"/>
    </row>
    <row r="31" spans="1:12" ht="39.75" customHeight="1" x14ac:dyDescent="0.3">
      <c r="A31" s="6"/>
      <c r="B31" s="5"/>
      <c r="C31" s="4"/>
      <c r="D31" s="15" t="s">
        <v>248</v>
      </c>
      <c r="E31" s="41"/>
      <c r="F31" s="41">
        <v>3</v>
      </c>
      <c r="G31" s="14" t="s">
        <v>116</v>
      </c>
      <c r="H31" s="41">
        <f>461.4/F31</f>
        <v>153.79999999999998</v>
      </c>
      <c r="I31" s="57">
        <f>F31*H31</f>
        <v>461.4</v>
      </c>
      <c r="J31" s="13" t="s">
        <v>120</v>
      </c>
      <c r="K31" s="2"/>
      <c r="L31" s="2"/>
    </row>
    <row r="32" spans="1:12" ht="39.75" customHeight="1" x14ac:dyDescent="0.3">
      <c r="A32" s="6"/>
      <c r="B32" s="5"/>
      <c r="C32" s="4"/>
      <c r="D32" s="15" t="s">
        <v>249</v>
      </c>
      <c r="E32" s="41"/>
      <c r="F32" s="41">
        <v>3</v>
      </c>
      <c r="G32" s="14" t="s">
        <v>116</v>
      </c>
      <c r="H32" s="44">
        <f>514.4/F32</f>
        <v>171.46666666666667</v>
      </c>
      <c r="I32" s="57">
        <f>F32*H32</f>
        <v>514.4</v>
      </c>
      <c r="J32" s="13" t="s">
        <v>120</v>
      </c>
      <c r="K32" s="2"/>
      <c r="L32" s="2"/>
    </row>
    <row r="33" spans="1:12" ht="39.75" customHeight="1" x14ac:dyDescent="0.3">
      <c r="A33" s="6"/>
      <c r="B33" s="5"/>
      <c r="C33" s="4"/>
      <c r="D33" s="15" t="s">
        <v>250</v>
      </c>
      <c r="E33" s="41"/>
      <c r="F33" s="41">
        <f>3</f>
        <v>3</v>
      </c>
      <c r="G33" s="14" t="s">
        <v>116</v>
      </c>
      <c r="H33" s="44">
        <f>(1689.2+2310.6)/F33</f>
        <v>1333.2666666666667</v>
      </c>
      <c r="I33" s="57">
        <f>F33*H33</f>
        <v>3999.8</v>
      </c>
      <c r="J33" s="13" t="s">
        <v>120</v>
      </c>
      <c r="K33" s="2"/>
      <c r="L33" s="2"/>
    </row>
    <row r="34" spans="1:12" ht="24.75" customHeight="1" x14ac:dyDescent="0.3">
      <c r="A34" s="6"/>
      <c r="B34" s="5"/>
      <c r="C34" s="4"/>
      <c r="D34" s="15" t="s">
        <v>187</v>
      </c>
      <c r="E34" s="41" t="s">
        <v>146</v>
      </c>
      <c r="F34" s="41" t="s">
        <v>146</v>
      </c>
      <c r="G34" s="14" t="s">
        <v>31</v>
      </c>
      <c r="H34" s="41" t="s">
        <v>146</v>
      </c>
      <c r="I34" s="41" t="s">
        <v>146</v>
      </c>
      <c r="J34" s="13"/>
      <c r="K34" s="2"/>
      <c r="L34" s="2"/>
    </row>
    <row r="35" spans="1:12" ht="18.75" x14ac:dyDescent="0.3">
      <c r="A35" s="6" t="s">
        <v>56</v>
      </c>
      <c r="B35" s="5"/>
      <c r="C35" s="4"/>
      <c r="D35" s="15" t="s">
        <v>147</v>
      </c>
      <c r="E35" s="41" t="s">
        <v>146</v>
      </c>
      <c r="F35" s="41" t="s">
        <v>146</v>
      </c>
      <c r="G35" s="14" t="s">
        <v>30</v>
      </c>
      <c r="H35" s="41" t="s">
        <v>146</v>
      </c>
      <c r="I35" s="41" t="s">
        <v>146</v>
      </c>
      <c r="J35" s="13"/>
      <c r="L35" s="2"/>
    </row>
    <row r="36" spans="1:12" ht="32.25" x14ac:dyDescent="0.3">
      <c r="A36" s="6" t="s">
        <v>58</v>
      </c>
      <c r="B36" s="5"/>
      <c r="C36" s="4"/>
      <c r="D36" s="15" t="s">
        <v>96</v>
      </c>
      <c r="E36" s="41" t="s">
        <v>146</v>
      </c>
      <c r="F36" s="41" t="s">
        <v>146</v>
      </c>
      <c r="G36" s="14" t="s">
        <v>54</v>
      </c>
      <c r="H36" s="41" t="s">
        <v>146</v>
      </c>
      <c r="I36" s="41" t="s">
        <v>146</v>
      </c>
      <c r="J36" s="5"/>
      <c r="L36" s="2"/>
    </row>
    <row r="37" spans="1:12" ht="32.25" x14ac:dyDescent="0.3">
      <c r="A37" s="6" t="s">
        <v>14</v>
      </c>
      <c r="B37" s="5"/>
      <c r="C37" s="4"/>
      <c r="D37" s="15" t="s">
        <v>95</v>
      </c>
      <c r="E37" s="41" t="s">
        <v>146</v>
      </c>
      <c r="F37" s="41" t="s">
        <v>146</v>
      </c>
      <c r="G37" s="14" t="s">
        <v>55</v>
      </c>
      <c r="H37" s="41" t="s">
        <v>146</v>
      </c>
      <c r="I37" s="41" t="s">
        <v>146</v>
      </c>
      <c r="J37" s="5"/>
      <c r="L37" s="2"/>
    </row>
    <row r="38" spans="1:12" ht="18.75" x14ac:dyDescent="0.3">
      <c r="A38" s="6" t="s">
        <v>15</v>
      </c>
      <c r="B38" s="5"/>
      <c r="C38" s="4"/>
      <c r="D38" s="4" t="s">
        <v>43</v>
      </c>
      <c r="E38" s="41" t="s">
        <v>146</v>
      </c>
      <c r="F38" s="41" t="s">
        <v>146</v>
      </c>
      <c r="G38" s="14" t="s">
        <v>55</v>
      </c>
      <c r="H38" s="41" t="s">
        <v>146</v>
      </c>
      <c r="I38" s="41" t="s">
        <v>146</v>
      </c>
      <c r="J38" s="5"/>
      <c r="L38" s="2"/>
    </row>
    <row r="39" spans="1:12" ht="18.75" x14ac:dyDescent="0.3">
      <c r="A39" s="6" t="s">
        <v>16</v>
      </c>
      <c r="B39" s="5"/>
      <c r="C39" s="4"/>
      <c r="D39" s="4" t="s">
        <v>44</v>
      </c>
      <c r="E39" s="41" t="s">
        <v>146</v>
      </c>
      <c r="F39" s="41" t="s">
        <v>146</v>
      </c>
      <c r="G39" s="14" t="s">
        <v>54</v>
      </c>
      <c r="H39" s="41" t="s">
        <v>146</v>
      </c>
      <c r="I39" s="41" t="s">
        <v>146</v>
      </c>
      <c r="J39" s="5"/>
      <c r="L39" s="2"/>
    </row>
    <row r="40" spans="1:12" ht="18.75" x14ac:dyDescent="0.3">
      <c r="A40" s="6" t="s">
        <v>17</v>
      </c>
      <c r="B40" s="5"/>
      <c r="C40" s="4"/>
      <c r="D40" s="4" t="s">
        <v>45</v>
      </c>
      <c r="E40" s="41" t="s">
        <v>146</v>
      </c>
      <c r="F40" s="41" t="s">
        <v>146</v>
      </c>
      <c r="G40" s="13" t="s">
        <v>30</v>
      </c>
      <c r="H40" s="41" t="s">
        <v>146</v>
      </c>
      <c r="I40" s="41" t="s">
        <v>146</v>
      </c>
      <c r="J40" s="5"/>
      <c r="L40" s="2"/>
    </row>
    <row r="41" spans="1:12" ht="18.75" x14ac:dyDescent="0.3">
      <c r="A41" s="6" t="s">
        <v>18</v>
      </c>
      <c r="B41" s="5"/>
      <c r="C41" s="4"/>
      <c r="D41" s="4" t="s">
        <v>46</v>
      </c>
      <c r="E41" s="41" t="s">
        <v>146</v>
      </c>
      <c r="F41" s="41" t="s">
        <v>146</v>
      </c>
      <c r="G41" s="14" t="s">
        <v>55</v>
      </c>
      <c r="H41" s="41" t="s">
        <v>146</v>
      </c>
      <c r="I41" s="41" t="s">
        <v>146</v>
      </c>
      <c r="J41" s="5"/>
      <c r="L41" s="2"/>
    </row>
    <row r="42" spans="1:12" ht="18.75" x14ac:dyDescent="0.3">
      <c r="A42" s="28"/>
      <c r="B42" s="22"/>
      <c r="C42" s="22"/>
      <c r="D42" s="22"/>
      <c r="E42" s="46"/>
      <c r="F42" s="46"/>
      <c r="G42" s="12"/>
      <c r="H42" s="41"/>
      <c r="I42" s="41">
        <f>SUM(I30:I41)</f>
        <v>29975.600000000002</v>
      </c>
      <c r="J42" s="5"/>
      <c r="L42" s="2"/>
    </row>
    <row r="43" spans="1:12" ht="24" customHeight="1" x14ac:dyDescent="0.3">
      <c r="A43" s="75" t="s">
        <v>87</v>
      </c>
      <c r="B43" s="76"/>
      <c r="C43" s="76"/>
      <c r="D43" s="76"/>
      <c r="E43" s="76"/>
      <c r="F43" s="76"/>
      <c r="G43" s="77"/>
      <c r="H43" s="14"/>
      <c r="I43" s="5"/>
      <c r="J43" s="5"/>
      <c r="L43" s="2"/>
    </row>
    <row r="44" spans="1:12" ht="32.25" customHeight="1" x14ac:dyDescent="0.3">
      <c r="A44" s="6" t="s">
        <v>50</v>
      </c>
      <c r="B44" s="5"/>
      <c r="C44" s="4"/>
      <c r="D44" s="15" t="s">
        <v>192</v>
      </c>
      <c r="E44" s="32"/>
      <c r="F44" s="13"/>
      <c r="G44" s="38" t="s">
        <v>30</v>
      </c>
      <c r="H44" s="13"/>
      <c r="I44" s="33"/>
      <c r="J44" s="13"/>
      <c r="L44" s="2"/>
    </row>
    <row r="45" spans="1:12" ht="32.25" customHeight="1" x14ac:dyDescent="0.3">
      <c r="A45" s="6"/>
      <c r="B45" s="5"/>
      <c r="C45" s="4"/>
      <c r="D45" s="15" t="s">
        <v>194</v>
      </c>
      <c r="E45" s="41"/>
      <c r="F45" s="41">
        <f>1</f>
        <v>1</v>
      </c>
      <c r="G45" s="13" t="s">
        <v>31</v>
      </c>
      <c r="H45" s="41">
        <f>5651.8+51700</f>
        <v>57351.8</v>
      </c>
      <c r="I45" s="57">
        <f>F45*H45</f>
        <v>57351.8</v>
      </c>
      <c r="J45" s="13" t="s">
        <v>120</v>
      </c>
      <c r="L45" s="2"/>
    </row>
    <row r="46" spans="1:12" ht="32.25" customHeight="1" x14ac:dyDescent="0.3">
      <c r="A46" s="6"/>
      <c r="B46" s="5"/>
      <c r="C46" s="4"/>
      <c r="D46" s="15" t="s">
        <v>215</v>
      </c>
      <c r="E46" s="41"/>
      <c r="F46" s="41">
        <f>1</f>
        <v>1</v>
      </c>
      <c r="G46" s="13" t="s">
        <v>31</v>
      </c>
      <c r="H46" s="41">
        <f>1385.6/F46</f>
        <v>1385.6</v>
      </c>
      <c r="I46" s="57">
        <f>F46*H46</f>
        <v>1385.6</v>
      </c>
      <c r="J46" s="13" t="s">
        <v>211</v>
      </c>
      <c r="L46" s="2"/>
    </row>
    <row r="47" spans="1:12" ht="32.25" customHeight="1" x14ac:dyDescent="0.3">
      <c r="A47" s="6"/>
      <c r="B47" s="5"/>
      <c r="C47" s="4"/>
      <c r="D47" s="15" t="s">
        <v>216</v>
      </c>
      <c r="E47" s="32"/>
      <c r="F47" s="31">
        <f>1</f>
        <v>1</v>
      </c>
      <c r="G47" s="13" t="s">
        <v>31</v>
      </c>
      <c r="H47" s="31">
        <f>348.2/F47</f>
        <v>348.2</v>
      </c>
      <c r="I47" s="58">
        <f t="shared" ref="I47:I48" si="0">F47*H47</f>
        <v>348.2</v>
      </c>
      <c r="J47" s="13" t="s">
        <v>124</v>
      </c>
      <c r="L47" s="2"/>
    </row>
    <row r="48" spans="1:12" ht="32.25" customHeight="1" x14ac:dyDescent="0.3">
      <c r="A48" s="6"/>
      <c r="B48" s="5"/>
      <c r="C48" s="4"/>
      <c r="D48" s="15" t="s">
        <v>214</v>
      </c>
      <c r="E48" s="32"/>
      <c r="F48" s="31">
        <f>1</f>
        <v>1</v>
      </c>
      <c r="G48" s="13" t="s">
        <v>31</v>
      </c>
      <c r="H48" s="31">
        <f>1323.6/F48</f>
        <v>1323.6</v>
      </c>
      <c r="I48" s="58">
        <f t="shared" si="0"/>
        <v>1323.6</v>
      </c>
      <c r="J48" s="13" t="s">
        <v>124</v>
      </c>
      <c r="L48" s="2"/>
    </row>
    <row r="49" spans="1:12" ht="32.25" customHeight="1" x14ac:dyDescent="0.3">
      <c r="A49" s="6"/>
      <c r="B49" s="5"/>
      <c r="C49" s="4"/>
      <c r="D49" s="15" t="s">
        <v>182</v>
      </c>
      <c r="E49" s="32"/>
      <c r="F49" s="31"/>
      <c r="G49" s="13" t="s">
        <v>183</v>
      </c>
      <c r="H49" s="31"/>
      <c r="I49" s="31"/>
      <c r="J49" s="13"/>
      <c r="L49" s="2"/>
    </row>
    <row r="50" spans="1:12" ht="32.25" customHeight="1" x14ac:dyDescent="0.3">
      <c r="A50" s="6"/>
      <c r="B50" s="5"/>
      <c r="C50" s="4"/>
      <c r="D50" s="15" t="s">
        <v>184</v>
      </c>
      <c r="E50" s="32"/>
      <c r="F50" s="31"/>
      <c r="G50" s="13" t="s">
        <v>185</v>
      </c>
      <c r="H50" s="31"/>
      <c r="I50" s="31"/>
      <c r="J50" s="13"/>
      <c r="L50" s="2"/>
    </row>
    <row r="51" spans="1:12" ht="32.25" customHeight="1" x14ac:dyDescent="0.3">
      <c r="A51" s="6"/>
      <c r="B51" s="5"/>
      <c r="C51" s="4"/>
      <c r="D51" s="15" t="s">
        <v>204</v>
      </c>
      <c r="E51" s="32"/>
      <c r="F51" s="31"/>
      <c r="G51" s="13" t="s">
        <v>116</v>
      </c>
      <c r="H51" s="31"/>
      <c r="I51" s="45"/>
      <c r="J51" s="13"/>
      <c r="L51" s="2"/>
    </row>
    <row r="52" spans="1:12" ht="32.25" customHeight="1" x14ac:dyDescent="0.3">
      <c r="A52" s="6"/>
      <c r="B52" s="5"/>
      <c r="C52" s="4"/>
      <c r="D52" s="15" t="s">
        <v>217</v>
      </c>
      <c r="E52" s="41"/>
      <c r="F52" s="41">
        <f>4+1</f>
        <v>5</v>
      </c>
      <c r="G52" s="13" t="s">
        <v>31</v>
      </c>
      <c r="H52" s="41">
        <f>(3718.6+1763.6)/F52</f>
        <v>1096.44</v>
      </c>
      <c r="I52" s="57">
        <f>F52*H52</f>
        <v>5482.2000000000007</v>
      </c>
      <c r="J52" s="13" t="s">
        <v>126</v>
      </c>
      <c r="L52" s="2"/>
    </row>
    <row r="53" spans="1:12" ht="32.25" x14ac:dyDescent="0.3">
      <c r="A53" s="6" t="s">
        <v>51</v>
      </c>
      <c r="B53" s="5"/>
      <c r="C53" s="4"/>
      <c r="D53" s="15" t="s">
        <v>101</v>
      </c>
      <c r="E53" s="41" t="s">
        <v>146</v>
      </c>
      <c r="F53" s="41" t="s">
        <v>146</v>
      </c>
      <c r="G53" s="13" t="s">
        <v>55</v>
      </c>
      <c r="H53" s="41" t="s">
        <v>146</v>
      </c>
      <c r="I53" s="41" t="s">
        <v>146</v>
      </c>
      <c r="J53" s="13"/>
      <c r="L53" s="2"/>
    </row>
    <row r="54" spans="1:12" ht="32.25" x14ac:dyDescent="0.3">
      <c r="A54" s="6" t="s">
        <v>60</v>
      </c>
      <c r="B54" s="8"/>
      <c r="C54" s="4"/>
      <c r="D54" s="15" t="s">
        <v>47</v>
      </c>
      <c r="E54" s="41"/>
      <c r="F54" s="41"/>
      <c r="G54" s="14" t="s">
        <v>143</v>
      </c>
      <c r="H54" s="41"/>
      <c r="I54" s="41"/>
      <c r="J54" s="13"/>
      <c r="L54" s="2"/>
    </row>
    <row r="55" spans="1:12" ht="32.25" x14ac:dyDescent="0.3">
      <c r="A55" s="6"/>
      <c r="B55" s="8"/>
      <c r="C55" s="4"/>
      <c r="D55" s="15" t="s">
        <v>205</v>
      </c>
      <c r="E55" s="41"/>
      <c r="F55" s="41"/>
      <c r="G55" s="14" t="s">
        <v>116</v>
      </c>
      <c r="H55" s="41"/>
      <c r="I55" s="44"/>
      <c r="J55" s="13"/>
      <c r="L55" s="2"/>
    </row>
    <row r="56" spans="1:12" ht="32.25" x14ac:dyDescent="0.3">
      <c r="A56" s="6"/>
      <c r="B56" s="8"/>
      <c r="C56" s="4"/>
      <c r="D56" s="15" t="s">
        <v>195</v>
      </c>
      <c r="E56" s="41"/>
      <c r="F56" s="41"/>
      <c r="G56" s="14" t="s">
        <v>116</v>
      </c>
      <c r="H56" s="41"/>
      <c r="I56" s="44"/>
      <c r="J56" s="13"/>
      <c r="L56" s="2"/>
    </row>
    <row r="57" spans="1:12" ht="48" x14ac:dyDescent="0.3">
      <c r="A57" s="6"/>
      <c r="B57" s="8"/>
      <c r="C57" s="4"/>
      <c r="D57" s="15" t="s">
        <v>197</v>
      </c>
      <c r="E57" s="41"/>
      <c r="F57" s="41"/>
      <c r="G57" s="14" t="s">
        <v>116</v>
      </c>
      <c r="H57" s="41"/>
      <c r="I57" s="44"/>
      <c r="J57" s="13"/>
      <c r="L57" s="2"/>
    </row>
    <row r="58" spans="1:12" ht="32.25" x14ac:dyDescent="0.3">
      <c r="A58" s="6"/>
      <c r="B58" s="8"/>
      <c r="C58" s="4"/>
      <c r="D58" s="15" t="s">
        <v>198</v>
      </c>
      <c r="E58" s="41"/>
      <c r="F58" s="41"/>
      <c r="G58" s="14" t="s">
        <v>116</v>
      </c>
      <c r="H58" s="41"/>
      <c r="I58" s="44"/>
      <c r="J58" s="13"/>
      <c r="L58" s="2"/>
    </row>
    <row r="59" spans="1:12" ht="48" x14ac:dyDescent="0.3">
      <c r="A59" s="6"/>
      <c r="B59" s="8"/>
      <c r="C59" s="4"/>
      <c r="D59" s="15" t="s">
        <v>223</v>
      </c>
      <c r="E59" s="41"/>
      <c r="F59" s="41"/>
      <c r="G59" s="14" t="s">
        <v>116</v>
      </c>
      <c r="H59" s="41"/>
      <c r="I59" s="44"/>
      <c r="J59" s="13"/>
      <c r="L59" s="2"/>
    </row>
    <row r="60" spans="1:12" ht="48" x14ac:dyDescent="0.3">
      <c r="A60" s="6"/>
      <c r="B60" s="8"/>
      <c r="C60" s="4"/>
      <c r="D60" s="15" t="s">
        <v>203</v>
      </c>
      <c r="E60" s="41"/>
      <c r="F60" s="41"/>
      <c r="G60" s="14" t="s">
        <v>116</v>
      </c>
      <c r="H60" s="41"/>
      <c r="I60" s="44"/>
      <c r="J60" s="13"/>
      <c r="L60" s="2"/>
    </row>
    <row r="61" spans="1:12" ht="18.75" x14ac:dyDescent="0.3">
      <c r="A61" s="6" t="s">
        <v>62</v>
      </c>
      <c r="B61" s="5"/>
      <c r="C61" s="4"/>
      <c r="D61" s="15" t="s">
        <v>52</v>
      </c>
      <c r="E61" s="41" t="s">
        <v>146</v>
      </c>
      <c r="F61" s="41" t="s">
        <v>146</v>
      </c>
      <c r="G61" s="14" t="s">
        <v>54</v>
      </c>
      <c r="H61" s="41" t="s">
        <v>146</v>
      </c>
      <c r="I61" s="41" t="s">
        <v>146</v>
      </c>
      <c r="J61" s="5"/>
      <c r="L61" s="2"/>
    </row>
    <row r="62" spans="1:12" ht="32.25" x14ac:dyDescent="0.3">
      <c r="A62" s="6" t="s">
        <v>63</v>
      </c>
      <c r="B62" s="5"/>
      <c r="C62" s="4"/>
      <c r="D62" s="15" t="s">
        <v>65</v>
      </c>
      <c r="E62" s="41" t="s">
        <v>146</v>
      </c>
      <c r="F62" s="41" t="s">
        <v>146</v>
      </c>
      <c r="G62" s="13" t="s">
        <v>30</v>
      </c>
      <c r="H62" s="41" t="s">
        <v>146</v>
      </c>
      <c r="I62" s="41" t="s">
        <v>146</v>
      </c>
      <c r="J62" s="5"/>
      <c r="L62" s="2"/>
    </row>
    <row r="63" spans="1:12" ht="18.75" x14ac:dyDescent="0.3">
      <c r="A63" s="6" t="s">
        <v>59</v>
      </c>
      <c r="B63" s="8"/>
      <c r="C63" s="4"/>
      <c r="D63" s="4" t="s">
        <v>48</v>
      </c>
      <c r="E63" s="41" t="s">
        <v>146</v>
      </c>
      <c r="F63" s="41" t="s">
        <v>146</v>
      </c>
      <c r="G63" s="14" t="s">
        <v>54</v>
      </c>
      <c r="H63" s="41" t="s">
        <v>146</v>
      </c>
      <c r="I63" s="41" t="s">
        <v>146</v>
      </c>
      <c r="J63" s="5"/>
      <c r="L63" s="2"/>
    </row>
    <row r="64" spans="1:12" ht="32.25" x14ac:dyDescent="0.3">
      <c r="A64" s="6"/>
      <c r="B64" s="8"/>
      <c r="C64" s="4"/>
      <c r="D64" s="15" t="s">
        <v>224</v>
      </c>
      <c r="E64" s="41"/>
      <c r="F64" s="41">
        <f>9</f>
        <v>9</v>
      </c>
      <c r="G64" s="14" t="s">
        <v>31</v>
      </c>
      <c r="H64" s="41">
        <f>1198.8/F64</f>
        <v>133.19999999999999</v>
      </c>
      <c r="I64" s="57">
        <f>F64*H64</f>
        <v>1198.8</v>
      </c>
      <c r="J64" s="13" t="s">
        <v>126</v>
      </c>
      <c r="L64" s="2"/>
    </row>
    <row r="65" spans="1:12" ht="32.25" x14ac:dyDescent="0.3">
      <c r="A65" s="6"/>
      <c r="B65" s="8"/>
      <c r="C65" s="4"/>
      <c r="D65" s="15" t="s">
        <v>253</v>
      </c>
      <c r="E65" s="41"/>
      <c r="F65" s="41">
        <v>0.6</v>
      </c>
      <c r="G65" s="14" t="s">
        <v>159</v>
      </c>
      <c r="H65" s="44">
        <f>302/F65</f>
        <v>503.33333333333337</v>
      </c>
      <c r="I65" s="61">
        <f>F65*H65</f>
        <v>302</v>
      </c>
      <c r="J65" s="13" t="s">
        <v>126</v>
      </c>
      <c r="L65" s="2"/>
    </row>
    <row r="66" spans="1:12" ht="24" customHeight="1" x14ac:dyDescent="0.3">
      <c r="A66" s="6" t="s">
        <v>61</v>
      </c>
      <c r="B66" s="8"/>
      <c r="C66" s="4"/>
      <c r="D66" s="4" t="s">
        <v>49</v>
      </c>
      <c r="E66" s="41"/>
      <c r="F66" s="41"/>
      <c r="G66" s="14" t="s">
        <v>54</v>
      </c>
      <c r="H66" s="41" t="s">
        <v>146</v>
      </c>
      <c r="I66" s="41" t="s">
        <v>146</v>
      </c>
      <c r="J66" s="5"/>
      <c r="L66" s="2"/>
    </row>
    <row r="67" spans="1:12" ht="18.75" x14ac:dyDescent="0.3">
      <c r="A67" s="6" t="s">
        <v>66</v>
      </c>
      <c r="B67" s="5"/>
      <c r="C67" s="4"/>
      <c r="D67" s="4" t="s">
        <v>94</v>
      </c>
      <c r="E67" s="41"/>
      <c r="F67" s="41"/>
      <c r="G67" s="14" t="s">
        <v>31</v>
      </c>
      <c r="H67" s="41"/>
      <c r="I67" s="41"/>
      <c r="J67" s="13"/>
      <c r="L67" s="2"/>
    </row>
    <row r="68" spans="1:12" ht="18.75" x14ac:dyDescent="0.3">
      <c r="A68" s="28"/>
      <c r="B68" s="22"/>
      <c r="C68" s="22"/>
      <c r="D68" s="22" t="s">
        <v>199</v>
      </c>
      <c r="E68" s="46"/>
      <c r="F68" s="46"/>
      <c r="G68" s="12" t="s">
        <v>31</v>
      </c>
      <c r="H68" s="41"/>
      <c r="I68" s="41"/>
      <c r="J68" s="13"/>
      <c r="L68" s="2"/>
    </row>
    <row r="69" spans="1:12" ht="18.75" x14ac:dyDescent="0.3">
      <c r="A69" s="28"/>
      <c r="B69" s="22"/>
      <c r="C69" s="22"/>
      <c r="D69" s="22"/>
      <c r="E69" s="46"/>
      <c r="F69" s="46"/>
      <c r="G69" s="12"/>
      <c r="H69" s="41"/>
      <c r="I69" s="44">
        <f>SUM(I44:I68)</f>
        <v>67392.2</v>
      </c>
      <c r="J69" s="13"/>
      <c r="L69" s="2"/>
    </row>
    <row r="70" spans="1:12" ht="18.75" x14ac:dyDescent="0.3">
      <c r="A70" s="75" t="s">
        <v>68</v>
      </c>
      <c r="B70" s="76"/>
      <c r="C70" s="76"/>
      <c r="D70" s="76"/>
      <c r="E70" s="76"/>
      <c r="F70" s="76"/>
      <c r="G70" s="77"/>
      <c r="H70" s="18"/>
      <c r="I70" s="5"/>
      <c r="J70" s="5"/>
      <c r="L70" s="2"/>
    </row>
    <row r="71" spans="1:12" ht="37.5" x14ac:dyDescent="0.25">
      <c r="A71" s="9" t="s">
        <v>29</v>
      </c>
      <c r="B71" s="8"/>
      <c r="C71" s="4"/>
      <c r="D71" s="15" t="s">
        <v>151</v>
      </c>
      <c r="E71" s="41" t="s">
        <v>146</v>
      </c>
      <c r="F71" s="41" t="s">
        <v>146</v>
      </c>
      <c r="G71" s="13" t="s">
        <v>55</v>
      </c>
      <c r="H71" s="41" t="s">
        <v>146</v>
      </c>
      <c r="I71" s="41" t="s">
        <v>146</v>
      </c>
      <c r="J71" s="13"/>
      <c r="L71" s="2"/>
    </row>
    <row r="72" spans="1:12" ht="46.5" customHeight="1" x14ac:dyDescent="0.25">
      <c r="A72" s="9" t="s">
        <v>93</v>
      </c>
      <c r="B72" s="8"/>
      <c r="C72" s="4"/>
      <c r="D72" s="42" t="s">
        <v>130</v>
      </c>
      <c r="E72" s="32"/>
      <c r="F72" s="13">
        <f>2036</f>
        <v>2036</v>
      </c>
      <c r="G72" s="13" t="s">
        <v>116</v>
      </c>
      <c r="H72" s="33">
        <f>(8575.6+8575.6+8575.6+8767.6+8767.6+8767.6+9002.4+9002.4+9002.4+9283+9283+9283)/F72</f>
        <v>52.497937131630643</v>
      </c>
      <c r="I72" s="33">
        <f t="shared" ref="I72:I83" si="1">F72*H72</f>
        <v>106885.79999999999</v>
      </c>
      <c r="J72" s="13" t="s">
        <v>119</v>
      </c>
      <c r="L72" s="2"/>
    </row>
    <row r="73" spans="1:12" ht="46.5" customHeight="1" x14ac:dyDescent="0.25">
      <c r="A73" s="9"/>
      <c r="B73" s="8"/>
      <c r="C73" s="4"/>
      <c r="D73" s="15" t="s">
        <v>113</v>
      </c>
      <c r="E73" s="32"/>
      <c r="F73" s="13">
        <f>1800</f>
        <v>1800</v>
      </c>
      <c r="G73" s="13" t="s">
        <v>30</v>
      </c>
      <c r="H73" s="33">
        <f>154347.8/F73</f>
        <v>85.748777777777775</v>
      </c>
      <c r="I73" s="33">
        <f t="shared" si="1"/>
        <v>154347.79999999999</v>
      </c>
      <c r="J73" s="13" t="s">
        <v>120</v>
      </c>
      <c r="L73" s="2"/>
    </row>
    <row r="74" spans="1:12" ht="46.5" customHeight="1" x14ac:dyDescent="0.25">
      <c r="A74" s="9"/>
      <c r="B74" s="8"/>
      <c r="C74" s="4"/>
      <c r="D74" s="15" t="s">
        <v>114</v>
      </c>
      <c r="E74" s="41"/>
      <c r="F74" s="41">
        <f>120</f>
        <v>120</v>
      </c>
      <c r="G74" s="13" t="s">
        <v>30</v>
      </c>
      <c r="H74" s="44">
        <f>10405.6/F74</f>
        <v>86.713333333333338</v>
      </c>
      <c r="I74" s="41">
        <f t="shared" si="1"/>
        <v>10405.6</v>
      </c>
      <c r="J74" s="13" t="s">
        <v>120</v>
      </c>
      <c r="L74" s="2"/>
    </row>
    <row r="75" spans="1:12" ht="46.5" customHeight="1" x14ac:dyDescent="0.25">
      <c r="A75" s="9"/>
      <c r="B75" s="8"/>
      <c r="C75" s="4"/>
      <c r="D75" s="42" t="s">
        <v>115</v>
      </c>
      <c r="E75" s="41" t="s">
        <v>146</v>
      </c>
      <c r="F75" s="41" t="s">
        <v>146</v>
      </c>
      <c r="G75" s="13" t="s">
        <v>150</v>
      </c>
      <c r="H75" s="41" t="s">
        <v>146</v>
      </c>
      <c r="I75" s="41" t="s">
        <v>146</v>
      </c>
      <c r="J75" s="13"/>
      <c r="L75" s="2"/>
    </row>
    <row r="76" spans="1:12" ht="46.5" customHeight="1" x14ac:dyDescent="0.25">
      <c r="A76" s="9"/>
      <c r="B76" s="8"/>
      <c r="C76" s="4"/>
      <c r="D76" s="42" t="s">
        <v>163</v>
      </c>
      <c r="E76" s="41" t="s">
        <v>146</v>
      </c>
      <c r="F76" s="41" t="s">
        <v>146</v>
      </c>
      <c r="G76" s="13" t="s">
        <v>150</v>
      </c>
      <c r="H76" s="41" t="s">
        <v>146</v>
      </c>
      <c r="I76" s="41" t="s">
        <v>146</v>
      </c>
      <c r="J76" s="13"/>
      <c r="L76" s="2"/>
    </row>
    <row r="77" spans="1:12" ht="46.5" customHeight="1" x14ac:dyDescent="0.25">
      <c r="A77" s="9"/>
      <c r="B77" s="8"/>
      <c r="C77" s="4"/>
      <c r="D77" s="42" t="s">
        <v>164</v>
      </c>
      <c r="E77" s="41" t="s">
        <v>146</v>
      </c>
      <c r="F77" s="41" t="s">
        <v>146</v>
      </c>
      <c r="G77" s="13" t="s">
        <v>31</v>
      </c>
      <c r="H77" s="41" t="s">
        <v>146</v>
      </c>
      <c r="I77" s="41" t="s">
        <v>146</v>
      </c>
      <c r="J77" s="13"/>
      <c r="L77" s="2"/>
    </row>
    <row r="78" spans="1:12" ht="46.5" customHeight="1" x14ac:dyDescent="0.25">
      <c r="A78" s="9"/>
      <c r="B78" s="8"/>
      <c r="C78" s="4"/>
      <c r="D78" s="42" t="s">
        <v>165</v>
      </c>
      <c r="E78" s="41" t="s">
        <v>146</v>
      </c>
      <c r="F78" s="41" t="s">
        <v>146</v>
      </c>
      <c r="G78" s="13" t="s">
        <v>31</v>
      </c>
      <c r="H78" s="41" t="s">
        <v>146</v>
      </c>
      <c r="I78" s="41" t="s">
        <v>146</v>
      </c>
      <c r="J78" s="13"/>
      <c r="L78" s="2"/>
    </row>
    <row r="79" spans="1:12" ht="46.5" customHeight="1" x14ac:dyDescent="0.25">
      <c r="A79" s="9"/>
      <c r="B79" s="8"/>
      <c r="C79" s="4"/>
      <c r="D79" s="42" t="s">
        <v>167</v>
      </c>
      <c r="E79" s="41" t="s">
        <v>146</v>
      </c>
      <c r="F79" s="41" t="s">
        <v>146</v>
      </c>
      <c r="G79" s="13" t="s">
        <v>31</v>
      </c>
      <c r="H79" s="41" t="s">
        <v>146</v>
      </c>
      <c r="I79" s="41" t="s">
        <v>146</v>
      </c>
      <c r="J79" s="13"/>
      <c r="L79" s="2"/>
    </row>
    <row r="80" spans="1:12" ht="46.5" customHeight="1" x14ac:dyDescent="0.25">
      <c r="A80" s="9"/>
      <c r="B80" s="8"/>
      <c r="C80" s="4"/>
      <c r="D80" s="42" t="s">
        <v>210</v>
      </c>
      <c r="E80" s="41" t="s">
        <v>146</v>
      </c>
      <c r="F80" s="41">
        <f>4</f>
        <v>4</v>
      </c>
      <c r="G80" s="13" t="s">
        <v>31</v>
      </c>
      <c r="H80" s="41">
        <f>25796.2/F80</f>
        <v>6449.05</v>
      </c>
      <c r="I80" s="57">
        <f>F80*H80</f>
        <v>25796.2</v>
      </c>
      <c r="J80" s="13" t="s">
        <v>211</v>
      </c>
      <c r="L80" s="2"/>
    </row>
    <row r="81" spans="1:12" ht="46.5" customHeight="1" x14ac:dyDescent="0.25">
      <c r="A81" s="9"/>
      <c r="B81" s="8"/>
      <c r="C81" s="4"/>
      <c r="D81" s="15" t="s">
        <v>138</v>
      </c>
      <c r="E81" s="32"/>
      <c r="F81" s="13">
        <f>4</f>
        <v>4</v>
      </c>
      <c r="G81" s="13" t="s">
        <v>31</v>
      </c>
      <c r="H81" s="13">
        <f>4747.4/F81</f>
        <v>1186.8499999999999</v>
      </c>
      <c r="I81" s="59">
        <f t="shared" ref="I81" si="2">F81*H81</f>
        <v>4747.3999999999996</v>
      </c>
      <c r="J81" s="13" t="s">
        <v>120</v>
      </c>
      <c r="L81" s="2"/>
    </row>
    <row r="82" spans="1:12" ht="46.5" customHeight="1" x14ac:dyDescent="0.25">
      <c r="A82" s="9"/>
      <c r="B82" s="8"/>
      <c r="C82" s="4"/>
      <c r="D82" s="15" t="s">
        <v>230</v>
      </c>
      <c r="E82" s="32"/>
      <c r="F82" s="13">
        <f>3</f>
        <v>3</v>
      </c>
      <c r="G82" s="13" t="s">
        <v>31</v>
      </c>
      <c r="H82" s="33">
        <f>54283/F82</f>
        <v>18094.333333333332</v>
      </c>
      <c r="I82" s="59">
        <f>F82*H82</f>
        <v>54283</v>
      </c>
      <c r="J82" s="13" t="s">
        <v>120</v>
      </c>
      <c r="L82" s="2"/>
    </row>
    <row r="83" spans="1:12" ht="46.5" customHeight="1" x14ac:dyDescent="0.25">
      <c r="A83" s="9"/>
      <c r="B83" s="8"/>
      <c r="C83" s="4"/>
      <c r="D83" s="15" t="s">
        <v>231</v>
      </c>
      <c r="E83" s="32"/>
      <c r="F83" s="13">
        <f>3</f>
        <v>3</v>
      </c>
      <c r="G83" s="13" t="s">
        <v>31</v>
      </c>
      <c r="H83" s="33">
        <f>20767.6/F83</f>
        <v>6922.5333333333328</v>
      </c>
      <c r="I83" s="59">
        <f t="shared" si="1"/>
        <v>20767.599999999999</v>
      </c>
      <c r="J83" s="13" t="s">
        <v>120</v>
      </c>
      <c r="L83" s="2"/>
    </row>
    <row r="84" spans="1:12" ht="46.5" customHeight="1" x14ac:dyDescent="0.25">
      <c r="A84" s="9"/>
      <c r="B84" s="8"/>
      <c r="C84" s="4"/>
      <c r="D84" s="15" t="s">
        <v>196</v>
      </c>
      <c r="E84" s="32"/>
      <c r="F84" s="31"/>
      <c r="G84" s="13" t="s">
        <v>116</v>
      </c>
      <c r="H84" s="31"/>
      <c r="I84" s="45"/>
      <c r="J84" s="13"/>
      <c r="L84" s="2"/>
    </row>
    <row r="85" spans="1:12" ht="18.75" x14ac:dyDescent="0.25">
      <c r="A85" s="9" t="s">
        <v>84</v>
      </c>
      <c r="B85" s="8"/>
      <c r="C85" s="4"/>
      <c r="D85" s="15" t="s">
        <v>153</v>
      </c>
      <c r="E85" s="41" t="s">
        <v>146</v>
      </c>
      <c r="F85" s="41" t="s">
        <v>146</v>
      </c>
      <c r="G85" s="13" t="s">
        <v>55</v>
      </c>
      <c r="H85" s="41" t="s">
        <v>146</v>
      </c>
      <c r="I85" s="41" t="s">
        <v>146</v>
      </c>
      <c r="J85" s="13"/>
      <c r="L85" s="2"/>
    </row>
    <row r="86" spans="1:12" ht="18.75" x14ac:dyDescent="0.25">
      <c r="A86" s="9"/>
      <c r="B86" s="8"/>
      <c r="C86" s="4"/>
      <c r="D86" s="15" t="s">
        <v>175</v>
      </c>
      <c r="E86" s="41" t="s">
        <v>146</v>
      </c>
      <c r="F86" s="41" t="s">
        <v>146</v>
      </c>
      <c r="G86" s="13" t="s">
        <v>31</v>
      </c>
      <c r="H86" s="41" t="s">
        <v>146</v>
      </c>
      <c r="I86" s="41" t="s">
        <v>146</v>
      </c>
      <c r="J86" s="13"/>
      <c r="L86" s="2"/>
    </row>
    <row r="87" spans="1:12" ht="18.75" x14ac:dyDescent="0.25">
      <c r="A87" s="9" t="s">
        <v>20</v>
      </c>
      <c r="B87" s="8"/>
      <c r="C87" s="4"/>
      <c r="D87" s="15" t="s">
        <v>69</v>
      </c>
      <c r="E87" s="41" t="s">
        <v>146</v>
      </c>
      <c r="F87" s="41" t="s">
        <v>146</v>
      </c>
      <c r="G87" s="13" t="s">
        <v>30</v>
      </c>
      <c r="H87" s="41" t="s">
        <v>146</v>
      </c>
      <c r="I87" s="41" t="s">
        <v>146</v>
      </c>
      <c r="J87" s="13"/>
      <c r="L87" s="2"/>
    </row>
    <row r="88" spans="1:12" ht="31.5" x14ac:dyDescent="0.25">
      <c r="A88" s="9" t="s">
        <v>21</v>
      </c>
      <c r="B88" s="8"/>
      <c r="C88" s="4"/>
      <c r="D88" s="15" t="s">
        <v>71</v>
      </c>
      <c r="E88" s="41" t="s">
        <v>146</v>
      </c>
      <c r="F88" s="41" t="s">
        <v>146</v>
      </c>
      <c r="G88" s="13" t="s">
        <v>55</v>
      </c>
      <c r="H88" s="41" t="s">
        <v>146</v>
      </c>
      <c r="I88" s="41" t="s">
        <v>146</v>
      </c>
      <c r="J88" s="13"/>
      <c r="L88" s="2"/>
    </row>
    <row r="89" spans="1:12" ht="18.75" x14ac:dyDescent="0.25">
      <c r="A89" s="47"/>
      <c r="B89" s="48"/>
      <c r="C89" s="22"/>
      <c r="D89" s="30"/>
      <c r="E89" s="46"/>
      <c r="F89" s="46"/>
      <c r="G89" s="31"/>
      <c r="H89" s="41"/>
      <c r="I89" s="44">
        <f>SUM(I72:I88)</f>
        <v>377233.39999999997</v>
      </c>
      <c r="J89" s="13"/>
      <c r="L89" s="2"/>
    </row>
    <row r="90" spans="1:12" ht="18.75" x14ac:dyDescent="0.3">
      <c r="A90" s="71" t="s">
        <v>72</v>
      </c>
      <c r="B90" s="72"/>
      <c r="C90" s="72"/>
      <c r="D90" s="72"/>
      <c r="E90" s="72"/>
      <c r="F90" s="72"/>
      <c r="G90" s="73"/>
      <c r="H90" s="19"/>
      <c r="I90" s="5"/>
      <c r="J90" s="5"/>
      <c r="L90" s="2"/>
    </row>
    <row r="91" spans="1:12" ht="37.5" x14ac:dyDescent="0.25">
      <c r="A91" s="9" t="s">
        <v>93</v>
      </c>
      <c r="B91" s="8"/>
      <c r="C91" s="4"/>
      <c r="D91" s="4" t="s">
        <v>133</v>
      </c>
      <c r="E91" s="31"/>
      <c r="F91" s="13"/>
      <c r="G91" s="13" t="s">
        <v>118</v>
      </c>
      <c r="H91" s="13"/>
      <c r="I91" s="13"/>
      <c r="J91" s="13"/>
      <c r="L91" s="2"/>
    </row>
    <row r="92" spans="1:12" ht="31.5" x14ac:dyDescent="0.25">
      <c r="A92" s="9"/>
      <c r="B92" s="8"/>
      <c r="C92" s="4"/>
      <c r="D92" s="15" t="s">
        <v>170</v>
      </c>
      <c r="E92" s="41" t="s">
        <v>146</v>
      </c>
      <c r="F92" s="41" t="s">
        <v>146</v>
      </c>
      <c r="G92" s="13" t="s">
        <v>30</v>
      </c>
      <c r="H92" s="41" t="s">
        <v>146</v>
      </c>
      <c r="I92" s="41" t="s">
        <v>146</v>
      </c>
      <c r="J92" s="13"/>
      <c r="L92" s="2"/>
    </row>
    <row r="93" spans="1:12" ht="47.25" x14ac:dyDescent="0.25">
      <c r="A93" s="9"/>
      <c r="B93" s="8"/>
      <c r="C93" s="4"/>
      <c r="D93" s="15" t="s">
        <v>171</v>
      </c>
      <c r="E93" s="41" t="s">
        <v>146</v>
      </c>
      <c r="F93" s="41" t="s">
        <v>146</v>
      </c>
      <c r="G93" s="13" t="s">
        <v>139</v>
      </c>
      <c r="H93" s="41" t="s">
        <v>146</v>
      </c>
      <c r="I93" s="41" t="s">
        <v>146</v>
      </c>
      <c r="J93" s="13"/>
      <c r="L93" s="2"/>
    </row>
    <row r="94" spans="1:12" ht="47.25" x14ac:dyDescent="0.25">
      <c r="A94" s="9"/>
      <c r="B94" s="8"/>
      <c r="C94" s="4"/>
      <c r="D94" s="15" t="s">
        <v>181</v>
      </c>
      <c r="E94" s="41" t="s">
        <v>146</v>
      </c>
      <c r="F94" s="41" t="s">
        <v>146</v>
      </c>
      <c r="G94" s="13" t="s">
        <v>30</v>
      </c>
      <c r="H94" s="41" t="s">
        <v>146</v>
      </c>
      <c r="I94" s="41" t="s">
        <v>146</v>
      </c>
      <c r="J94" s="13"/>
      <c r="L94" s="2"/>
    </row>
    <row r="95" spans="1:12" ht="18.75" x14ac:dyDescent="0.25">
      <c r="A95" s="9"/>
      <c r="B95" s="8"/>
      <c r="C95" s="4"/>
      <c r="D95" s="15" t="s">
        <v>172</v>
      </c>
      <c r="E95" s="41" t="s">
        <v>146</v>
      </c>
      <c r="F95" s="41" t="s">
        <v>146</v>
      </c>
      <c r="G95" s="13" t="s">
        <v>173</v>
      </c>
      <c r="H95" s="41" t="s">
        <v>146</v>
      </c>
      <c r="I95" s="41" t="s">
        <v>146</v>
      </c>
      <c r="J95" s="13"/>
      <c r="L95" s="2"/>
    </row>
    <row r="96" spans="1:12" ht="18.75" x14ac:dyDescent="0.25">
      <c r="A96" s="9"/>
      <c r="B96" s="8"/>
      <c r="C96" s="4"/>
      <c r="D96" s="15" t="s">
        <v>174</v>
      </c>
      <c r="E96" s="41" t="s">
        <v>146</v>
      </c>
      <c r="F96" s="41" t="s">
        <v>146</v>
      </c>
      <c r="G96" s="13" t="s">
        <v>173</v>
      </c>
      <c r="H96" s="41" t="s">
        <v>146</v>
      </c>
      <c r="I96" s="41" t="s">
        <v>146</v>
      </c>
      <c r="J96" s="13"/>
      <c r="L96" s="2"/>
    </row>
    <row r="97" spans="1:12" ht="31.5" x14ac:dyDescent="0.25">
      <c r="A97" s="9"/>
      <c r="B97" s="8"/>
      <c r="C97" s="4"/>
      <c r="D97" s="15" t="s">
        <v>154</v>
      </c>
      <c r="E97" s="41" t="s">
        <v>146</v>
      </c>
      <c r="F97" s="41" t="s">
        <v>146</v>
      </c>
      <c r="G97" s="13" t="s">
        <v>30</v>
      </c>
      <c r="H97" s="41" t="s">
        <v>146</v>
      </c>
      <c r="I97" s="41" t="s">
        <v>146</v>
      </c>
      <c r="J97" s="13"/>
      <c r="L97" s="2"/>
    </row>
    <row r="98" spans="1:12" ht="31.5" x14ac:dyDescent="0.25">
      <c r="A98" s="9"/>
      <c r="B98" s="8"/>
      <c r="C98" s="4"/>
      <c r="D98" s="15" t="s">
        <v>155</v>
      </c>
      <c r="E98" s="41" t="s">
        <v>146</v>
      </c>
      <c r="F98" s="41" t="s">
        <v>146</v>
      </c>
      <c r="G98" s="13" t="s">
        <v>30</v>
      </c>
      <c r="H98" s="41" t="s">
        <v>146</v>
      </c>
      <c r="I98" s="41" t="s">
        <v>146</v>
      </c>
      <c r="J98" s="13"/>
      <c r="L98" s="2"/>
    </row>
    <row r="99" spans="1:12" ht="31.5" x14ac:dyDescent="0.25">
      <c r="A99" s="9"/>
      <c r="B99" s="8"/>
      <c r="C99" s="4"/>
      <c r="D99" s="15" t="s">
        <v>154</v>
      </c>
      <c r="E99" s="41" t="s">
        <v>146</v>
      </c>
      <c r="F99" s="41" t="s">
        <v>146</v>
      </c>
      <c r="G99" s="13" t="s">
        <v>30</v>
      </c>
      <c r="H99" s="41" t="s">
        <v>146</v>
      </c>
      <c r="I99" s="41" t="s">
        <v>146</v>
      </c>
      <c r="J99" s="13"/>
      <c r="L99" s="2"/>
    </row>
    <row r="100" spans="1:12" ht="47.25" x14ac:dyDescent="0.25">
      <c r="A100" s="9"/>
      <c r="B100" s="8"/>
      <c r="C100" s="4"/>
      <c r="D100" s="42" t="s">
        <v>167</v>
      </c>
      <c r="E100" s="41"/>
      <c r="F100" s="41"/>
      <c r="G100" s="13" t="s">
        <v>31</v>
      </c>
      <c r="H100" s="41"/>
      <c r="I100" s="41"/>
      <c r="J100" s="13"/>
      <c r="L100" s="2"/>
    </row>
    <row r="101" spans="1:12" ht="47.25" x14ac:dyDescent="0.25">
      <c r="A101" s="9"/>
      <c r="B101" s="8"/>
      <c r="C101" s="4"/>
      <c r="D101" s="42" t="s">
        <v>168</v>
      </c>
      <c r="E101" s="41"/>
      <c r="F101" s="41"/>
      <c r="G101" s="13" t="s">
        <v>31</v>
      </c>
      <c r="H101" s="41"/>
      <c r="I101" s="41"/>
      <c r="J101" s="13"/>
      <c r="L101" s="2"/>
    </row>
    <row r="102" spans="1:12" ht="47.25" x14ac:dyDescent="0.25">
      <c r="A102" s="9"/>
      <c r="B102" s="8"/>
      <c r="C102" s="4"/>
      <c r="D102" s="42" t="s">
        <v>210</v>
      </c>
      <c r="E102" s="41"/>
      <c r="F102" s="41">
        <f>2+6+4+4</f>
        <v>16</v>
      </c>
      <c r="G102" s="13" t="s">
        <v>31</v>
      </c>
      <c r="H102" s="41">
        <f>(12899.2+40473+26981+27793.8)/F102</f>
        <v>6759.1875</v>
      </c>
      <c r="I102" s="57">
        <f t="shared" ref="I102" si="3">F102*H102</f>
        <v>108147</v>
      </c>
      <c r="J102" s="13" t="s">
        <v>119</v>
      </c>
      <c r="L102" s="2"/>
    </row>
    <row r="103" spans="1:12" ht="47.25" x14ac:dyDescent="0.25">
      <c r="A103" s="9"/>
      <c r="B103" s="8"/>
      <c r="C103" s="4"/>
      <c r="D103" s="42" t="s">
        <v>169</v>
      </c>
      <c r="E103" s="41"/>
      <c r="F103" s="41"/>
      <c r="G103" s="13" t="s">
        <v>31</v>
      </c>
      <c r="H103" s="41"/>
      <c r="I103" s="41"/>
      <c r="J103" s="13"/>
      <c r="L103" s="2"/>
    </row>
    <row r="104" spans="1:12" ht="18.75" x14ac:dyDescent="0.25">
      <c r="A104" s="9" t="s">
        <v>84</v>
      </c>
      <c r="B104" s="8"/>
      <c r="C104" s="4"/>
      <c r="D104" s="15" t="s">
        <v>70</v>
      </c>
      <c r="E104" s="41" t="s">
        <v>146</v>
      </c>
      <c r="F104" s="41" t="s">
        <v>146</v>
      </c>
      <c r="G104" s="13" t="s">
        <v>55</v>
      </c>
      <c r="H104" s="41"/>
      <c r="I104" s="41"/>
      <c r="J104" s="5"/>
      <c r="L104" s="2"/>
    </row>
    <row r="105" spans="1:12" ht="18.75" x14ac:dyDescent="0.25">
      <c r="A105" s="9"/>
      <c r="B105" s="8"/>
      <c r="C105" s="4"/>
      <c r="D105" s="15" t="s">
        <v>190</v>
      </c>
      <c r="E105" s="41"/>
      <c r="F105" s="41"/>
      <c r="G105" s="13" t="s">
        <v>31</v>
      </c>
      <c r="H105" s="41"/>
      <c r="I105" s="41"/>
      <c r="J105" s="13"/>
      <c r="L105" s="2"/>
    </row>
    <row r="106" spans="1:12" ht="18.75" x14ac:dyDescent="0.25">
      <c r="A106" s="9"/>
      <c r="B106" s="8"/>
      <c r="C106" s="4"/>
      <c r="D106" s="15" t="s">
        <v>176</v>
      </c>
      <c r="E106" s="41"/>
      <c r="F106" s="41"/>
      <c r="G106" s="13" t="s">
        <v>31</v>
      </c>
      <c r="H106" s="41"/>
      <c r="I106" s="41"/>
      <c r="J106" s="13"/>
      <c r="L106" s="2"/>
    </row>
    <row r="107" spans="1:12" ht="18.75" x14ac:dyDescent="0.25">
      <c r="A107" s="9"/>
      <c r="B107" s="8"/>
      <c r="C107" s="4"/>
      <c r="D107" s="15" t="s">
        <v>191</v>
      </c>
      <c r="E107" s="41"/>
      <c r="F107" s="41"/>
      <c r="G107" s="13" t="s">
        <v>31</v>
      </c>
      <c r="H107" s="41"/>
      <c r="I107" s="41"/>
      <c r="J107" s="13"/>
      <c r="L107" s="2"/>
    </row>
    <row r="108" spans="1:12" ht="18.75" x14ac:dyDescent="0.25">
      <c r="A108" s="9"/>
      <c r="B108" s="8"/>
      <c r="C108" s="4"/>
      <c r="D108" s="15" t="s">
        <v>189</v>
      </c>
      <c r="E108" s="41"/>
      <c r="F108" s="41"/>
      <c r="G108" s="13" t="s">
        <v>31</v>
      </c>
      <c r="H108" s="41"/>
      <c r="I108" s="41"/>
      <c r="J108" s="13"/>
      <c r="L108" s="2"/>
    </row>
    <row r="109" spans="1:12" ht="31.5" x14ac:dyDescent="0.25">
      <c r="A109" s="9"/>
      <c r="B109" s="8"/>
      <c r="C109" s="4"/>
      <c r="D109" s="15" t="s">
        <v>232</v>
      </c>
      <c r="E109" s="41"/>
      <c r="F109" s="41">
        <v>2</v>
      </c>
      <c r="G109" s="14" t="s">
        <v>31</v>
      </c>
      <c r="H109" s="41">
        <f>11766.6/F109</f>
        <v>5883.3</v>
      </c>
      <c r="I109" s="57">
        <f>F109*H109</f>
        <v>11766.6</v>
      </c>
      <c r="J109" s="13" t="s">
        <v>120</v>
      </c>
      <c r="L109" s="2"/>
    </row>
    <row r="110" spans="1:12" ht="31.5" x14ac:dyDescent="0.25">
      <c r="A110" s="9" t="s">
        <v>21</v>
      </c>
      <c r="B110" s="8"/>
      <c r="C110" s="4"/>
      <c r="D110" s="15" t="s">
        <v>71</v>
      </c>
      <c r="E110" s="41" t="s">
        <v>146</v>
      </c>
      <c r="F110" s="41" t="s">
        <v>146</v>
      </c>
      <c r="G110" s="13" t="s">
        <v>152</v>
      </c>
      <c r="H110" s="41" t="s">
        <v>146</v>
      </c>
      <c r="I110" s="41" t="s">
        <v>146</v>
      </c>
      <c r="J110" s="13"/>
      <c r="L110" s="2"/>
    </row>
    <row r="111" spans="1:12" ht="18.75" x14ac:dyDescent="0.25">
      <c r="A111" s="47"/>
      <c r="B111" s="48"/>
      <c r="C111" s="22"/>
      <c r="D111" s="30"/>
      <c r="E111" s="46"/>
      <c r="F111" s="46"/>
      <c r="G111" s="31"/>
      <c r="H111" s="41"/>
      <c r="I111" s="41">
        <f>SUM(I91:I110)</f>
        <v>119913.60000000001</v>
      </c>
      <c r="J111" s="13"/>
      <c r="L111" s="2"/>
    </row>
    <row r="112" spans="1:12" ht="18.75" x14ac:dyDescent="0.3">
      <c r="A112" s="71" t="s">
        <v>73</v>
      </c>
      <c r="B112" s="72"/>
      <c r="C112" s="72"/>
      <c r="D112" s="72"/>
      <c r="E112" s="72"/>
      <c r="F112" s="72"/>
      <c r="G112" s="73"/>
      <c r="H112" s="13"/>
      <c r="I112" s="5"/>
      <c r="J112" s="5"/>
      <c r="L112" s="2"/>
    </row>
    <row r="113" spans="1:12" ht="37.5" x14ac:dyDescent="0.25">
      <c r="A113" s="9" t="s">
        <v>93</v>
      </c>
      <c r="B113" s="8"/>
      <c r="C113" s="4"/>
      <c r="D113" s="4" t="s">
        <v>134</v>
      </c>
      <c r="E113" s="31"/>
      <c r="F113" s="13"/>
      <c r="G113" s="13" t="s">
        <v>118</v>
      </c>
      <c r="H113" s="13"/>
      <c r="I113" s="13"/>
      <c r="J113" s="13"/>
      <c r="L113" s="2"/>
    </row>
    <row r="114" spans="1:12" ht="47.25" x14ac:dyDescent="0.25">
      <c r="A114" s="9"/>
      <c r="B114" s="8"/>
      <c r="C114" s="4"/>
      <c r="D114" s="15" t="s">
        <v>236</v>
      </c>
      <c r="E114" s="41" t="s">
        <v>146</v>
      </c>
      <c r="F114" s="41" t="s">
        <v>146</v>
      </c>
      <c r="G114" s="13" t="s">
        <v>30</v>
      </c>
      <c r="H114" s="41" t="s">
        <v>146</v>
      </c>
      <c r="I114" s="41" t="s">
        <v>146</v>
      </c>
      <c r="J114" s="13"/>
      <c r="L114" s="2"/>
    </row>
    <row r="115" spans="1:12" ht="18.75" x14ac:dyDescent="0.25">
      <c r="A115" s="9"/>
      <c r="B115" s="8"/>
      <c r="C115" s="4"/>
      <c r="D115" s="15" t="s">
        <v>234</v>
      </c>
      <c r="E115" s="41"/>
      <c r="F115" s="41">
        <f>1</f>
        <v>1</v>
      </c>
      <c r="G115" s="13" t="s">
        <v>31</v>
      </c>
      <c r="H115" s="41">
        <f>645.8/F115</f>
        <v>645.79999999999995</v>
      </c>
      <c r="I115" s="57">
        <f>F115*H115</f>
        <v>645.79999999999995</v>
      </c>
      <c r="J115" s="13" t="s">
        <v>120</v>
      </c>
      <c r="L115" s="2"/>
    </row>
    <row r="116" spans="1:12" ht="47.25" x14ac:dyDescent="0.25">
      <c r="A116" s="9"/>
      <c r="B116" s="8"/>
      <c r="C116" s="4"/>
      <c r="D116" s="42" t="s">
        <v>167</v>
      </c>
      <c r="E116" s="41"/>
      <c r="F116" s="41">
        <f>1</f>
        <v>1</v>
      </c>
      <c r="G116" s="13" t="s">
        <v>31</v>
      </c>
      <c r="H116" s="41">
        <v>6591.8</v>
      </c>
      <c r="I116" s="57">
        <f t="shared" ref="I116" si="4">F116*H116</f>
        <v>6591.8</v>
      </c>
      <c r="J116" s="13" t="s">
        <v>119</v>
      </c>
      <c r="L116" s="2"/>
    </row>
    <row r="117" spans="1:12" ht="18.75" x14ac:dyDescent="0.25">
      <c r="A117" s="9" t="s">
        <v>84</v>
      </c>
      <c r="B117" s="8"/>
      <c r="C117" s="4"/>
      <c r="D117" s="15" t="s">
        <v>70</v>
      </c>
      <c r="E117" s="41" t="s">
        <v>146</v>
      </c>
      <c r="F117" s="41" t="s">
        <v>146</v>
      </c>
      <c r="G117" s="14" t="s">
        <v>55</v>
      </c>
      <c r="H117" s="41" t="s">
        <v>146</v>
      </c>
      <c r="I117" s="41" t="s">
        <v>146</v>
      </c>
      <c r="J117" s="5"/>
      <c r="L117" s="2"/>
    </row>
    <row r="118" spans="1:12" ht="18.75" x14ac:dyDescent="0.25">
      <c r="A118" s="9"/>
      <c r="B118" s="8"/>
      <c r="C118" s="4"/>
      <c r="D118" s="15" t="s">
        <v>178</v>
      </c>
      <c r="E118" s="41" t="s">
        <v>146</v>
      </c>
      <c r="F118" s="41">
        <f>1</f>
        <v>1</v>
      </c>
      <c r="G118" s="14" t="s">
        <v>31</v>
      </c>
      <c r="H118" s="41">
        <f>2928.2/F118</f>
        <v>2928.2</v>
      </c>
      <c r="I118" s="57">
        <f>F118*H118</f>
        <v>2928.2</v>
      </c>
      <c r="J118" s="13" t="s">
        <v>211</v>
      </c>
      <c r="L118" s="2"/>
    </row>
    <row r="119" spans="1:12" ht="31.5" x14ac:dyDescent="0.25">
      <c r="A119" s="9"/>
      <c r="B119" s="8"/>
      <c r="C119" s="4"/>
      <c r="D119" s="15" t="s">
        <v>232</v>
      </c>
      <c r="E119" s="41"/>
      <c r="F119" s="41">
        <f>2+1</f>
        <v>3</v>
      </c>
      <c r="G119" s="14" t="s">
        <v>31</v>
      </c>
      <c r="H119" s="41">
        <f>(24496+6142.4)/F119</f>
        <v>10212.800000000001</v>
      </c>
      <c r="I119" s="57">
        <f>F119*H119</f>
        <v>30638.400000000001</v>
      </c>
      <c r="J119" s="13" t="s">
        <v>120</v>
      </c>
      <c r="L119" s="2"/>
    </row>
    <row r="120" spans="1:12" ht="31.5" x14ac:dyDescent="0.25">
      <c r="A120" s="9"/>
      <c r="B120" s="8"/>
      <c r="C120" s="4"/>
      <c r="D120" s="15" t="s">
        <v>235</v>
      </c>
      <c r="E120" s="41"/>
      <c r="F120" s="41">
        <v>1</v>
      </c>
      <c r="G120" s="14" t="s">
        <v>31</v>
      </c>
      <c r="H120" s="41">
        <f>(24983)/F120</f>
        <v>24983</v>
      </c>
      <c r="I120" s="57">
        <f>F120*H120</f>
        <v>24983</v>
      </c>
      <c r="J120" s="13" t="s">
        <v>120</v>
      </c>
      <c r="L120" s="2"/>
    </row>
    <row r="121" spans="1:12" ht="18.75" x14ac:dyDescent="0.25">
      <c r="A121" s="9"/>
      <c r="B121" s="8"/>
      <c r="C121" s="4"/>
      <c r="D121" s="15" t="s">
        <v>179</v>
      </c>
      <c r="E121" s="41" t="s">
        <v>146</v>
      </c>
      <c r="F121" s="41" t="s">
        <v>146</v>
      </c>
      <c r="G121" s="14" t="s">
        <v>31</v>
      </c>
      <c r="H121" s="41" t="s">
        <v>146</v>
      </c>
      <c r="I121" s="41" t="s">
        <v>146</v>
      </c>
      <c r="J121" s="5"/>
      <c r="L121" s="2"/>
    </row>
    <row r="122" spans="1:12" ht="31.5" x14ac:dyDescent="0.25">
      <c r="A122" s="9" t="s">
        <v>21</v>
      </c>
      <c r="B122" s="8"/>
      <c r="C122" s="4"/>
      <c r="D122" s="15" t="s">
        <v>71</v>
      </c>
      <c r="E122" s="41" t="s">
        <v>146</v>
      </c>
      <c r="F122" s="41" t="s">
        <v>146</v>
      </c>
      <c r="G122" s="14" t="s">
        <v>55</v>
      </c>
      <c r="H122" s="41" t="s">
        <v>146</v>
      </c>
      <c r="I122" s="41" t="s">
        <v>146</v>
      </c>
      <c r="J122" s="5"/>
      <c r="L122" s="2"/>
    </row>
    <row r="123" spans="1:12" ht="18.75" x14ac:dyDescent="0.25">
      <c r="A123" s="47"/>
      <c r="B123" s="48"/>
      <c r="C123" s="22"/>
      <c r="D123" s="30"/>
      <c r="E123" s="46"/>
      <c r="F123" s="46"/>
      <c r="G123" s="12"/>
      <c r="H123" s="41"/>
      <c r="I123" s="41">
        <f>SUM(I113:I122)</f>
        <v>65787.199999999997</v>
      </c>
      <c r="J123" s="5"/>
      <c r="L123" s="2"/>
    </row>
    <row r="124" spans="1:12" ht="18.75" x14ac:dyDescent="0.3">
      <c r="A124" s="71" t="s">
        <v>74</v>
      </c>
      <c r="B124" s="72"/>
      <c r="C124" s="72"/>
      <c r="D124" s="72"/>
      <c r="E124" s="72"/>
      <c r="F124" s="72"/>
      <c r="G124" s="73"/>
      <c r="H124" s="19"/>
      <c r="I124" s="5"/>
      <c r="J124" s="5"/>
      <c r="L124" s="2"/>
    </row>
    <row r="125" spans="1:12" ht="37.5" x14ac:dyDescent="0.25">
      <c r="A125" s="9" t="s">
        <v>99</v>
      </c>
      <c r="B125" s="8"/>
      <c r="C125" s="4"/>
      <c r="D125" s="4" t="s">
        <v>135</v>
      </c>
      <c r="E125" s="31"/>
      <c r="F125" s="13">
        <f>4+2+2+4+2+4+2+2+2+8+4+2</f>
        <v>38</v>
      </c>
      <c r="G125" s="13" t="s">
        <v>118</v>
      </c>
      <c r="H125" s="33">
        <f>(2527.8+1263+1263+2584.8+1291.6+2584.8+1325.2+1325.2+1325.2+5472+2737+1367)/F125/3</f>
        <v>219.88245614035088</v>
      </c>
      <c r="I125" s="33">
        <f t="shared" ref="I125" si="5">F125*H125</f>
        <v>8355.5333333333328</v>
      </c>
      <c r="J125" s="13" t="s">
        <v>119</v>
      </c>
      <c r="L125" s="2"/>
    </row>
    <row r="126" spans="1:12" ht="31.5" x14ac:dyDescent="0.25">
      <c r="A126" s="9"/>
      <c r="B126" s="8"/>
      <c r="C126" s="4"/>
      <c r="D126" s="15" t="s">
        <v>125</v>
      </c>
      <c r="E126" s="41" t="s">
        <v>146</v>
      </c>
      <c r="F126" s="41">
        <f>2</f>
        <v>2</v>
      </c>
      <c r="G126" s="13" t="s">
        <v>30</v>
      </c>
      <c r="H126" s="41">
        <f>2422.2/F126</f>
        <v>1211.0999999999999</v>
      </c>
      <c r="I126" s="57">
        <f t="shared" ref="I126:I131" si="6">F126*H126</f>
        <v>2422.1999999999998</v>
      </c>
      <c r="J126" s="13" t="s">
        <v>211</v>
      </c>
      <c r="L126" s="2"/>
    </row>
    <row r="127" spans="1:12" ht="47.25" x14ac:dyDescent="0.25">
      <c r="A127" s="9"/>
      <c r="B127" s="8"/>
      <c r="C127" s="4"/>
      <c r="D127" s="15" t="s">
        <v>228</v>
      </c>
      <c r="E127" s="41" t="s">
        <v>146</v>
      </c>
      <c r="F127" s="41">
        <f>10</f>
        <v>10</v>
      </c>
      <c r="G127" s="13" t="s">
        <v>139</v>
      </c>
      <c r="H127" s="41">
        <f>1337.4/F127</f>
        <v>133.74</v>
      </c>
      <c r="I127" s="57">
        <f t="shared" si="6"/>
        <v>1337.4</v>
      </c>
      <c r="J127" s="13" t="s">
        <v>126</v>
      </c>
      <c r="L127" s="2"/>
    </row>
    <row r="128" spans="1:12" ht="47.25" x14ac:dyDescent="0.25">
      <c r="A128" s="9"/>
      <c r="B128" s="8"/>
      <c r="C128" s="4"/>
      <c r="D128" s="15" t="s">
        <v>181</v>
      </c>
      <c r="E128" s="41" t="s">
        <v>146</v>
      </c>
      <c r="F128" s="41">
        <f>10</f>
        <v>10</v>
      </c>
      <c r="G128" s="13" t="s">
        <v>30</v>
      </c>
      <c r="H128" s="41">
        <f>12848.6/F128</f>
        <v>1284.8600000000001</v>
      </c>
      <c r="I128" s="57">
        <f t="shared" si="6"/>
        <v>12848.600000000002</v>
      </c>
      <c r="J128" s="13" t="s">
        <v>126</v>
      </c>
      <c r="L128" s="2"/>
    </row>
    <row r="129" spans="1:12" ht="18.75" x14ac:dyDescent="0.25">
      <c r="A129" s="9"/>
      <c r="B129" s="8"/>
      <c r="C129" s="4"/>
      <c r="D129" s="4" t="s">
        <v>117</v>
      </c>
      <c r="E129" s="41" t="s">
        <v>146</v>
      </c>
      <c r="F129" s="41">
        <f>32+24</f>
        <v>56</v>
      </c>
      <c r="G129" s="13" t="s">
        <v>30</v>
      </c>
      <c r="H129" s="44">
        <f>(10128.2+7595.4)/F129</f>
        <v>316.49285714285713</v>
      </c>
      <c r="I129" s="41">
        <f t="shared" si="6"/>
        <v>17723.599999999999</v>
      </c>
      <c r="J129" s="13" t="s">
        <v>120</v>
      </c>
      <c r="L129" s="2"/>
    </row>
    <row r="130" spans="1:12" ht="18.75" x14ac:dyDescent="0.25">
      <c r="A130" s="9"/>
      <c r="B130" s="8"/>
      <c r="C130" s="4"/>
      <c r="D130" s="4" t="s">
        <v>166</v>
      </c>
      <c r="E130" s="41" t="s">
        <v>146</v>
      </c>
      <c r="F130" s="41">
        <f>6+4+2</f>
        <v>12</v>
      </c>
      <c r="G130" s="13" t="s">
        <v>143</v>
      </c>
      <c r="H130" s="44">
        <f>(371+245.2+122.6)/F130</f>
        <v>61.56666666666667</v>
      </c>
      <c r="I130" s="41">
        <f t="shared" si="6"/>
        <v>738.80000000000007</v>
      </c>
      <c r="J130" s="13" t="s">
        <v>120</v>
      </c>
      <c r="L130" s="2"/>
    </row>
    <row r="131" spans="1:12" ht="18.75" x14ac:dyDescent="0.25">
      <c r="A131" s="9"/>
      <c r="B131" s="8"/>
      <c r="C131" s="4"/>
      <c r="D131" s="4" t="s">
        <v>177</v>
      </c>
      <c r="E131" s="41" t="s">
        <v>146</v>
      </c>
      <c r="F131" s="41">
        <f>1+1</f>
        <v>2</v>
      </c>
      <c r="G131" s="13" t="s">
        <v>31</v>
      </c>
      <c r="H131" s="41">
        <f>(31898.8+37734.6)/F131</f>
        <v>34816.699999999997</v>
      </c>
      <c r="I131" s="57">
        <f t="shared" si="6"/>
        <v>69633.399999999994</v>
      </c>
      <c r="J131" s="13" t="s">
        <v>124</v>
      </c>
      <c r="L131" s="2"/>
    </row>
    <row r="132" spans="1:12" ht="18.75" x14ac:dyDescent="0.25">
      <c r="A132" s="9" t="s">
        <v>22</v>
      </c>
      <c r="B132" s="8"/>
      <c r="C132" s="4"/>
      <c r="D132" s="4" t="s">
        <v>77</v>
      </c>
      <c r="E132" s="41" t="s">
        <v>146</v>
      </c>
      <c r="F132" s="41" t="s">
        <v>146</v>
      </c>
      <c r="G132" s="13" t="s">
        <v>30</v>
      </c>
      <c r="H132" s="41" t="s">
        <v>146</v>
      </c>
      <c r="I132" s="41" t="s">
        <v>146</v>
      </c>
      <c r="J132" s="5"/>
      <c r="L132" s="2"/>
    </row>
    <row r="133" spans="1:12" ht="18.75" x14ac:dyDescent="0.25">
      <c r="A133" s="47"/>
      <c r="B133" s="48"/>
      <c r="C133" s="22"/>
      <c r="D133" s="22"/>
      <c r="E133" s="46"/>
      <c r="F133" s="46"/>
      <c r="G133" s="31"/>
      <c r="H133" s="41"/>
      <c r="I133" s="44">
        <f>SUM(I125:I132)</f>
        <v>113059.53333333333</v>
      </c>
      <c r="J133" s="5"/>
      <c r="L133" s="2"/>
    </row>
    <row r="134" spans="1:12" ht="18.75" x14ac:dyDescent="0.3">
      <c r="A134" s="71" t="s">
        <v>79</v>
      </c>
      <c r="B134" s="72"/>
      <c r="C134" s="72"/>
      <c r="D134" s="72"/>
      <c r="E134" s="72"/>
      <c r="F134" s="72"/>
      <c r="G134" s="73"/>
      <c r="H134" s="5"/>
      <c r="I134" s="5"/>
      <c r="J134" s="5"/>
      <c r="L134" s="2"/>
    </row>
    <row r="135" spans="1:12" ht="38.25" customHeight="1" x14ac:dyDescent="0.25">
      <c r="A135" s="9" t="s">
        <v>23</v>
      </c>
      <c r="B135" s="5"/>
      <c r="C135" s="4"/>
      <c r="D135" s="15" t="s">
        <v>149</v>
      </c>
      <c r="E135" s="41" t="s">
        <v>146</v>
      </c>
      <c r="F135" s="41" t="s">
        <v>146</v>
      </c>
      <c r="G135" s="13" t="s">
        <v>55</v>
      </c>
      <c r="H135" s="41" t="s">
        <v>146</v>
      </c>
      <c r="I135" s="41" t="s">
        <v>146</v>
      </c>
      <c r="J135" s="13"/>
      <c r="L135" s="2"/>
    </row>
    <row r="136" spans="1:12" ht="18.75" x14ac:dyDescent="0.25">
      <c r="A136" s="9" t="s">
        <v>24</v>
      </c>
      <c r="B136" s="5"/>
      <c r="C136" s="4"/>
      <c r="D136" s="4" t="s">
        <v>78</v>
      </c>
      <c r="E136" s="41" t="s">
        <v>146</v>
      </c>
      <c r="F136" s="41" t="s">
        <v>146</v>
      </c>
      <c r="G136" s="13" t="s">
        <v>55</v>
      </c>
      <c r="H136" s="41" t="s">
        <v>146</v>
      </c>
      <c r="I136" s="41" t="s">
        <v>146</v>
      </c>
      <c r="J136" s="13"/>
      <c r="L136" s="2"/>
    </row>
    <row r="137" spans="1:12" ht="31.5" x14ac:dyDescent="0.25">
      <c r="A137" s="9" t="s">
        <v>131</v>
      </c>
      <c r="B137" s="5"/>
      <c r="C137" s="4"/>
      <c r="D137" s="15" t="s">
        <v>122</v>
      </c>
      <c r="E137" s="41" t="s">
        <v>146</v>
      </c>
      <c r="F137" s="41" t="s">
        <v>146</v>
      </c>
      <c r="G137" s="13" t="s">
        <v>55</v>
      </c>
      <c r="H137" s="41" t="s">
        <v>146</v>
      </c>
      <c r="I137" s="41" t="s">
        <v>146</v>
      </c>
      <c r="J137" s="13"/>
      <c r="L137" s="2"/>
    </row>
    <row r="138" spans="1:12" ht="31.5" x14ac:dyDescent="0.25">
      <c r="A138" s="9"/>
      <c r="B138" s="5"/>
      <c r="C138" s="4"/>
      <c r="D138" s="15" t="s">
        <v>158</v>
      </c>
      <c r="E138" s="41" t="s">
        <v>146</v>
      </c>
      <c r="F138" s="41" t="s">
        <v>146</v>
      </c>
      <c r="G138" s="13" t="s">
        <v>159</v>
      </c>
      <c r="H138" s="41" t="s">
        <v>146</v>
      </c>
      <c r="I138" s="41" t="s">
        <v>146</v>
      </c>
      <c r="J138" s="13"/>
      <c r="L138" s="2"/>
    </row>
    <row r="139" spans="1:12" ht="18.75" x14ac:dyDescent="0.25">
      <c r="A139" s="9"/>
      <c r="B139" s="5"/>
      <c r="C139" s="4"/>
      <c r="D139" s="15" t="s">
        <v>202</v>
      </c>
      <c r="E139" s="31"/>
      <c r="F139" s="13"/>
      <c r="G139" s="13" t="s">
        <v>159</v>
      </c>
      <c r="H139" s="13"/>
      <c r="I139" s="13"/>
      <c r="J139" s="13"/>
      <c r="L139" s="2"/>
    </row>
    <row r="140" spans="1:12" ht="18.75" x14ac:dyDescent="0.25">
      <c r="A140" s="9"/>
      <c r="B140" s="5"/>
      <c r="C140" s="4"/>
      <c r="D140" s="15" t="s">
        <v>200</v>
      </c>
      <c r="E140" s="31"/>
      <c r="F140" s="13"/>
      <c r="G140" s="13" t="s">
        <v>31</v>
      </c>
      <c r="H140" s="13"/>
      <c r="I140" s="13"/>
      <c r="J140" s="13"/>
      <c r="L140" s="2"/>
    </row>
    <row r="141" spans="1:12" ht="18.75" x14ac:dyDescent="0.25">
      <c r="A141" s="9"/>
      <c r="B141" s="5"/>
      <c r="C141" s="4"/>
      <c r="D141" s="15" t="s">
        <v>201</v>
      </c>
      <c r="E141" s="31"/>
      <c r="F141" s="13"/>
      <c r="G141" s="13" t="s">
        <v>31</v>
      </c>
      <c r="H141" s="13"/>
      <c r="I141" s="13"/>
      <c r="J141" s="13"/>
      <c r="L141" s="2"/>
    </row>
    <row r="142" spans="1:12" ht="31.5" x14ac:dyDescent="0.25">
      <c r="A142" s="9"/>
      <c r="B142" s="5"/>
      <c r="C142" s="4"/>
      <c r="D142" s="15" t="s">
        <v>132</v>
      </c>
      <c r="E142" s="41" t="s">
        <v>146</v>
      </c>
      <c r="F142" s="41" t="s">
        <v>146</v>
      </c>
      <c r="G142" s="13" t="s">
        <v>31</v>
      </c>
      <c r="H142" s="41" t="s">
        <v>146</v>
      </c>
      <c r="I142" s="41" t="s">
        <v>146</v>
      </c>
      <c r="J142" s="13"/>
      <c r="L142" s="2"/>
    </row>
    <row r="143" spans="1:12" ht="18.75" x14ac:dyDescent="0.25">
      <c r="A143" s="9"/>
      <c r="B143" s="5"/>
      <c r="C143" s="4"/>
      <c r="D143" s="15" t="s">
        <v>162</v>
      </c>
      <c r="E143" s="41" t="s">
        <v>146</v>
      </c>
      <c r="F143" s="41" t="s">
        <v>146</v>
      </c>
      <c r="G143" s="13" t="s">
        <v>55</v>
      </c>
      <c r="H143" s="41" t="s">
        <v>146</v>
      </c>
      <c r="I143" s="41" t="s">
        <v>146</v>
      </c>
      <c r="J143" s="13"/>
      <c r="L143" s="2"/>
    </row>
    <row r="144" spans="1:12" ht="18.75" x14ac:dyDescent="0.25">
      <c r="A144" s="9"/>
      <c r="B144" s="5"/>
      <c r="C144" s="4"/>
      <c r="D144" s="15" t="s">
        <v>108</v>
      </c>
      <c r="E144" s="32"/>
      <c r="F144" s="13">
        <f>2+2</f>
        <v>4</v>
      </c>
      <c r="G144" s="13" t="s">
        <v>55</v>
      </c>
      <c r="H144" s="13">
        <f>(404.6+409.6)/F144</f>
        <v>203.55</v>
      </c>
      <c r="I144" s="13">
        <f t="shared" ref="I144:I146" si="7">F144*H144</f>
        <v>814.2</v>
      </c>
      <c r="J144" s="13" t="s">
        <v>119</v>
      </c>
      <c r="L144" s="2"/>
    </row>
    <row r="145" spans="1:12" ht="18.75" x14ac:dyDescent="0.25">
      <c r="A145" s="9"/>
      <c r="B145" s="5"/>
      <c r="C145" s="4"/>
      <c r="D145" s="15" t="s">
        <v>148</v>
      </c>
      <c r="E145" s="41"/>
      <c r="F145" s="41"/>
      <c r="G145" s="13" t="s">
        <v>31</v>
      </c>
      <c r="H145" s="41" t="s">
        <v>146</v>
      </c>
      <c r="I145" s="41" t="s">
        <v>146</v>
      </c>
      <c r="J145" s="13"/>
      <c r="L145" s="2"/>
    </row>
    <row r="146" spans="1:12" ht="56.25" x14ac:dyDescent="0.25">
      <c r="A146" s="9" t="s">
        <v>109</v>
      </c>
      <c r="B146" s="5"/>
      <c r="C146" s="4"/>
      <c r="D146" s="15" t="s">
        <v>129</v>
      </c>
      <c r="E146" s="32"/>
      <c r="F146" s="13">
        <f>25+25+25+25+25+25+25+25+25+25+25+25</f>
        <v>300</v>
      </c>
      <c r="G146" s="13" t="s">
        <v>110</v>
      </c>
      <c r="H146" s="33">
        <f>(2218.6+2218.6+2218.6+2269.4+2269.4+2269.4+2327.6+2327.6+2327.6+2403+2403+2403)/F146</f>
        <v>92.185999999999979</v>
      </c>
      <c r="I146" s="13">
        <f t="shared" si="7"/>
        <v>27655.799999999992</v>
      </c>
      <c r="J146" s="13" t="s">
        <v>119</v>
      </c>
      <c r="L146" s="2"/>
    </row>
    <row r="147" spans="1:12" ht="18.75" x14ac:dyDescent="0.25">
      <c r="A147" s="47"/>
      <c r="B147" s="22"/>
      <c r="C147" s="22"/>
      <c r="D147" s="30"/>
      <c r="E147" s="49"/>
      <c r="F147" s="50"/>
      <c r="G147" s="31"/>
      <c r="H147" s="31"/>
      <c r="I147" s="13">
        <f>SUM(I144:I146)</f>
        <v>28469.999999999993</v>
      </c>
      <c r="J147" s="13"/>
      <c r="L147" s="2"/>
    </row>
    <row r="148" spans="1:12" ht="18.75" x14ac:dyDescent="0.25">
      <c r="A148" s="78" t="s">
        <v>92</v>
      </c>
      <c r="B148" s="79"/>
      <c r="C148" s="79"/>
      <c r="D148" s="79"/>
      <c r="E148" s="79"/>
      <c r="F148" s="79"/>
      <c r="G148" s="80"/>
      <c r="H148" s="12"/>
      <c r="I148" s="5"/>
      <c r="J148" s="5"/>
      <c r="L148" s="2"/>
    </row>
    <row r="149" spans="1:12" ht="18.75" x14ac:dyDescent="0.25">
      <c r="A149" s="54"/>
      <c r="B149" s="55"/>
      <c r="C149" s="55"/>
      <c r="D149" s="36" t="s">
        <v>247</v>
      </c>
      <c r="E149" s="56"/>
      <c r="F149" s="56">
        <v>1</v>
      </c>
      <c r="G149" s="56" t="s">
        <v>31</v>
      </c>
      <c r="H149" s="14">
        <f>946.8/F149</f>
        <v>946.8</v>
      </c>
      <c r="I149" s="63">
        <f>F149*H149</f>
        <v>946.8</v>
      </c>
      <c r="J149" s="13" t="s">
        <v>120</v>
      </c>
      <c r="L149" s="2"/>
    </row>
    <row r="150" spans="1:12" ht="18.75" x14ac:dyDescent="0.25">
      <c r="A150" s="26"/>
      <c r="B150" s="27"/>
      <c r="C150" s="27"/>
      <c r="D150" s="36" t="s">
        <v>219</v>
      </c>
      <c r="E150" s="41"/>
      <c r="F150" s="41">
        <f>0.3</f>
        <v>0.3</v>
      </c>
      <c r="G150" s="38" t="s">
        <v>220</v>
      </c>
      <c r="H150" s="44">
        <f>481.4/F150</f>
        <v>1604.6666666666667</v>
      </c>
      <c r="I150" s="64">
        <f>F150*H150</f>
        <v>481.4</v>
      </c>
      <c r="J150" s="13" t="s">
        <v>119</v>
      </c>
      <c r="L150" s="2"/>
    </row>
    <row r="151" spans="1:12" ht="63" x14ac:dyDescent="0.25">
      <c r="A151" s="9" t="s">
        <v>90</v>
      </c>
      <c r="B151" s="22"/>
      <c r="C151" s="22"/>
      <c r="D151" s="23" t="s">
        <v>121</v>
      </c>
      <c r="E151" s="37">
        <v>903</v>
      </c>
      <c r="F151" s="13">
        <v>903</v>
      </c>
      <c r="G151" s="31" t="s">
        <v>91</v>
      </c>
      <c r="H151" s="31">
        <v>4.8</v>
      </c>
      <c r="I151" s="13">
        <f>F151*H151*12</f>
        <v>52012.799999999996</v>
      </c>
      <c r="J151" s="13" t="s">
        <v>119</v>
      </c>
      <c r="L151" s="2"/>
    </row>
    <row r="152" spans="1:12" ht="18.75" x14ac:dyDescent="0.25">
      <c r="A152" s="47"/>
      <c r="B152" s="22"/>
      <c r="C152" s="22"/>
      <c r="D152" s="30"/>
      <c r="E152" s="49"/>
      <c r="F152" s="50"/>
      <c r="G152" s="31"/>
      <c r="H152" s="31"/>
      <c r="I152" s="13">
        <f>SUM(I149:I151)</f>
        <v>53440.999999999993</v>
      </c>
      <c r="J152" s="13"/>
      <c r="L152" s="2"/>
    </row>
    <row r="153" spans="1:12" ht="18.75" x14ac:dyDescent="0.3">
      <c r="A153" s="71" t="s">
        <v>80</v>
      </c>
      <c r="B153" s="72"/>
      <c r="C153" s="72"/>
      <c r="D153" s="72"/>
      <c r="E153" s="72"/>
      <c r="F153" s="72"/>
      <c r="G153" s="73"/>
      <c r="H153" s="19"/>
      <c r="I153" s="5"/>
      <c r="J153" s="5"/>
      <c r="L153" s="2"/>
    </row>
    <row r="154" spans="1:12" ht="46.5" customHeight="1" x14ac:dyDescent="0.3">
      <c r="A154" s="34" t="s">
        <v>137</v>
      </c>
      <c r="B154" s="24"/>
      <c r="C154" s="24"/>
      <c r="D154" s="35" t="s">
        <v>136</v>
      </c>
      <c r="E154" s="13">
        <v>370</v>
      </c>
      <c r="F154" s="13">
        <v>370</v>
      </c>
      <c r="G154" s="13" t="s">
        <v>145</v>
      </c>
      <c r="H154" s="13">
        <v>13</v>
      </c>
      <c r="I154" s="13">
        <f>F154*H154*3</f>
        <v>14430</v>
      </c>
      <c r="J154" s="13" t="s">
        <v>161</v>
      </c>
      <c r="L154" s="2"/>
    </row>
    <row r="155" spans="1:12" ht="18.75" x14ac:dyDescent="0.25">
      <c r="A155" s="9" t="s">
        <v>25</v>
      </c>
      <c r="B155" s="5"/>
      <c r="C155" s="4"/>
      <c r="D155" s="4" t="s">
        <v>76</v>
      </c>
      <c r="E155" s="41" t="s">
        <v>146</v>
      </c>
      <c r="F155" s="41" t="s">
        <v>146</v>
      </c>
      <c r="G155" s="14" t="s">
        <v>55</v>
      </c>
      <c r="H155" s="41" t="s">
        <v>146</v>
      </c>
      <c r="I155" s="41" t="s">
        <v>146</v>
      </c>
      <c r="J155" s="5"/>
      <c r="L155" s="2"/>
    </row>
    <row r="156" spans="1:12" ht="47.25" x14ac:dyDescent="0.25">
      <c r="A156" s="9" t="s">
        <v>26</v>
      </c>
      <c r="B156" s="5"/>
      <c r="C156" s="4"/>
      <c r="D156" s="15" t="s">
        <v>28</v>
      </c>
      <c r="E156" s="41" t="s">
        <v>146</v>
      </c>
      <c r="F156" s="41" t="s">
        <v>146</v>
      </c>
      <c r="G156" s="14" t="s">
        <v>55</v>
      </c>
      <c r="H156" s="41" t="s">
        <v>146</v>
      </c>
      <c r="I156" s="41" t="s">
        <v>146</v>
      </c>
      <c r="J156" s="5"/>
      <c r="L156" s="2"/>
    </row>
    <row r="157" spans="1:12" ht="31.5" x14ac:dyDescent="0.25">
      <c r="A157" s="9" t="s">
        <v>27</v>
      </c>
      <c r="B157" s="5"/>
      <c r="C157" s="4"/>
      <c r="D157" s="15" t="s">
        <v>75</v>
      </c>
      <c r="E157" s="41" t="s">
        <v>146</v>
      </c>
      <c r="F157" s="41" t="s">
        <v>146</v>
      </c>
      <c r="G157" s="14" t="s">
        <v>55</v>
      </c>
      <c r="H157" s="41" t="s">
        <v>146</v>
      </c>
      <c r="I157" s="41" t="s">
        <v>146</v>
      </c>
      <c r="J157" s="5"/>
      <c r="L157" s="2"/>
    </row>
    <row r="158" spans="1:12" ht="18.75" x14ac:dyDescent="0.25">
      <c r="A158" s="47"/>
      <c r="B158" s="22"/>
      <c r="C158" s="22"/>
      <c r="D158" s="30"/>
      <c r="E158" s="46"/>
      <c r="F158" s="46"/>
      <c r="G158" s="12"/>
      <c r="H158" s="52"/>
      <c r="I158" s="52">
        <f>SUM(I154:I157)</f>
        <v>14430</v>
      </c>
      <c r="J158" s="5"/>
      <c r="L158" s="2"/>
    </row>
    <row r="159" spans="1:12" ht="18.75" x14ac:dyDescent="0.3">
      <c r="A159" s="71" t="s">
        <v>85</v>
      </c>
      <c r="B159" s="72"/>
      <c r="C159" s="72"/>
      <c r="D159" s="72"/>
      <c r="E159" s="72"/>
      <c r="F159" s="72"/>
      <c r="G159" s="73"/>
      <c r="H159" s="25"/>
      <c r="I159" s="25"/>
      <c r="J159" s="25"/>
      <c r="K159" s="2"/>
      <c r="L159" s="2"/>
    </row>
    <row r="160" spans="1:12" ht="48" x14ac:dyDescent="0.3">
      <c r="A160" s="6" t="s">
        <v>67</v>
      </c>
      <c r="B160" s="6"/>
      <c r="C160" s="4"/>
      <c r="D160" s="15" t="s">
        <v>86</v>
      </c>
      <c r="E160" s="41" t="s">
        <v>146</v>
      </c>
      <c r="F160" s="41" t="s">
        <v>146</v>
      </c>
      <c r="G160" s="13" t="s">
        <v>30</v>
      </c>
      <c r="H160" s="41" t="s">
        <v>146</v>
      </c>
      <c r="I160" s="41" t="s">
        <v>146</v>
      </c>
      <c r="J160" s="5"/>
      <c r="L160" s="2"/>
    </row>
    <row r="161" spans="1:12" ht="32.25" x14ac:dyDescent="0.3">
      <c r="A161" s="28"/>
      <c r="B161" s="29"/>
      <c r="C161" s="22"/>
      <c r="D161" s="30" t="s">
        <v>111</v>
      </c>
      <c r="E161" s="41" t="s">
        <v>146</v>
      </c>
      <c r="F161" s="41" t="s">
        <v>146</v>
      </c>
      <c r="G161" s="13" t="s">
        <v>112</v>
      </c>
      <c r="H161" s="41" t="s">
        <v>146</v>
      </c>
      <c r="I161" s="41" t="s">
        <v>146</v>
      </c>
      <c r="J161" s="39"/>
      <c r="L161" s="2"/>
    </row>
    <row r="162" spans="1:12" ht="18.75" x14ac:dyDescent="0.3">
      <c r="A162" s="28"/>
      <c r="B162" s="29"/>
      <c r="C162" s="22"/>
      <c r="D162" s="30"/>
      <c r="E162" s="46"/>
      <c r="F162" s="46"/>
      <c r="G162" s="31"/>
      <c r="H162" s="46"/>
      <c r="I162" s="46"/>
      <c r="J162" s="51"/>
      <c r="L162" s="2"/>
    </row>
    <row r="163" spans="1:12" ht="18.75" x14ac:dyDescent="0.3">
      <c r="A163" s="71" t="s">
        <v>100</v>
      </c>
      <c r="B163" s="72"/>
      <c r="C163" s="72"/>
      <c r="D163" s="72"/>
      <c r="E163" s="72"/>
      <c r="F163" s="72"/>
      <c r="G163" s="73"/>
      <c r="H163" s="71"/>
      <c r="I163" s="72"/>
      <c r="J163" s="72"/>
      <c r="L163" s="2"/>
    </row>
    <row r="164" spans="1:12" ht="32.25" x14ac:dyDescent="0.3">
      <c r="A164" s="34" t="s">
        <v>160</v>
      </c>
      <c r="B164" s="24"/>
      <c r="C164" s="24"/>
      <c r="D164" s="40" t="s">
        <v>140</v>
      </c>
      <c r="E164" s="13"/>
      <c r="F164" s="13">
        <f>1</f>
        <v>1</v>
      </c>
      <c r="G164" s="13" t="s">
        <v>141</v>
      </c>
      <c r="H164" s="13">
        <v>800</v>
      </c>
      <c r="I164" s="60">
        <f t="shared" ref="I164:I167" si="8">F164*H164</f>
        <v>800</v>
      </c>
      <c r="J164" s="13" t="s">
        <v>128</v>
      </c>
      <c r="L164" s="2"/>
    </row>
    <row r="165" spans="1:12" ht="48" x14ac:dyDescent="0.3">
      <c r="A165" s="24"/>
      <c r="B165" s="24"/>
      <c r="C165" s="24"/>
      <c r="D165" s="40" t="s">
        <v>142</v>
      </c>
      <c r="E165" s="41"/>
      <c r="F165" s="41">
        <f>120+20+40</f>
        <v>180</v>
      </c>
      <c r="G165" s="13" t="s">
        <v>143</v>
      </c>
      <c r="H165" s="44">
        <f>(78000+13000+28000)/F165</f>
        <v>661.11111111111109</v>
      </c>
      <c r="I165" s="61">
        <f>F165*H165</f>
        <v>119000</v>
      </c>
      <c r="J165" s="13" t="s">
        <v>128</v>
      </c>
      <c r="L165" s="2"/>
    </row>
    <row r="166" spans="1:12" ht="32.25" x14ac:dyDescent="0.3">
      <c r="A166" s="24"/>
      <c r="B166" s="24"/>
      <c r="C166" s="24"/>
      <c r="D166" s="40" t="s">
        <v>208</v>
      </c>
      <c r="E166" s="13"/>
      <c r="F166" s="13">
        <f>540+420+120</f>
        <v>1080</v>
      </c>
      <c r="G166" s="13" t="s">
        <v>144</v>
      </c>
      <c r="H166" s="33">
        <f>(27000+21000+5500)/F166</f>
        <v>49.537037037037038</v>
      </c>
      <c r="I166" s="60">
        <f t="shared" si="8"/>
        <v>53500</v>
      </c>
      <c r="J166" s="13" t="s">
        <v>128</v>
      </c>
      <c r="L166" s="2"/>
    </row>
    <row r="167" spans="1:12" ht="32.25" x14ac:dyDescent="0.3">
      <c r="A167" s="34" t="s">
        <v>160</v>
      </c>
      <c r="B167" s="14"/>
      <c r="C167" s="14"/>
      <c r="D167" s="40" t="s">
        <v>209</v>
      </c>
      <c r="E167" s="13"/>
      <c r="F167" s="13">
        <f>540+120+150+180</f>
        <v>990</v>
      </c>
      <c r="G167" s="13" t="s">
        <v>144</v>
      </c>
      <c r="H167" s="33">
        <f>(22502+5000+5000+8249)/F167</f>
        <v>41.162626262626262</v>
      </c>
      <c r="I167" s="60">
        <f t="shared" si="8"/>
        <v>40751</v>
      </c>
      <c r="J167" s="13" t="s">
        <v>128</v>
      </c>
      <c r="L167" s="2"/>
    </row>
    <row r="168" spans="1:12" ht="18.75" x14ac:dyDescent="0.3">
      <c r="A168" s="34"/>
      <c r="B168" s="14"/>
      <c r="C168" s="14"/>
      <c r="D168" s="43" t="s">
        <v>212</v>
      </c>
      <c r="E168" s="41" t="s">
        <v>146</v>
      </c>
      <c r="F168" s="41">
        <f>1</f>
        <v>1</v>
      </c>
      <c r="G168" s="38" t="s">
        <v>31</v>
      </c>
      <c r="H168" s="41">
        <f>1176/F168</f>
        <v>1176</v>
      </c>
      <c r="I168" s="57">
        <f>F168*H168</f>
        <v>1176</v>
      </c>
      <c r="J168" s="14" t="s">
        <v>211</v>
      </c>
      <c r="L168" s="2"/>
    </row>
    <row r="169" spans="1:12" ht="18.75" x14ac:dyDescent="0.3">
      <c r="A169" s="34"/>
      <c r="B169" s="14"/>
      <c r="C169" s="14"/>
      <c r="D169" s="43" t="s">
        <v>252</v>
      </c>
      <c r="E169" s="41"/>
      <c r="F169" s="41">
        <v>1</v>
      </c>
      <c r="G169" s="38" t="s">
        <v>31</v>
      </c>
      <c r="H169" s="41">
        <f>3228/F169</f>
        <v>3228</v>
      </c>
      <c r="I169" s="57">
        <f>F169*H169</f>
        <v>3228</v>
      </c>
      <c r="J169" s="14" t="s">
        <v>124</v>
      </c>
      <c r="L169" s="2"/>
    </row>
    <row r="170" spans="1:12" ht="47.25" x14ac:dyDescent="0.3">
      <c r="A170" s="34" t="s">
        <v>237</v>
      </c>
      <c r="B170" s="14"/>
      <c r="C170" s="14"/>
      <c r="D170" s="43" t="s">
        <v>238</v>
      </c>
      <c r="E170" s="41"/>
      <c r="F170" s="41">
        <f>30</f>
        <v>30</v>
      </c>
      <c r="G170" s="38" t="s">
        <v>116</v>
      </c>
      <c r="H170" s="44">
        <f>5169.4/F170</f>
        <v>172.31333333333333</v>
      </c>
      <c r="I170" s="57">
        <f>F170*H170</f>
        <v>5169.3999999999996</v>
      </c>
      <c r="J170" s="14" t="s">
        <v>120</v>
      </c>
      <c r="L170" s="2"/>
    </row>
    <row r="171" spans="1:12" ht="47.25" x14ac:dyDescent="0.3">
      <c r="A171" s="34"/>
      <c r="B171" s="14"/>
      <c r="C171" s="14"/>
      <c r="D171" s="43" t="s">
        <v>239</v>
      </c>
      <c r="E171" s="41"/>
      <c r="F171" s="41">
        <f>30</f>
        <v>30</v>
      </c>
      <c r="G171" s="38" t="s">
        <v>116</v>
      </c>
      <c r="H171" s="41">
        <f>2046/F171</f>
        <v>68.2</v>
      </c>
      <c r="I171" s="57">
        <f t="shared" ref="I171:I174" si="9">F171*H171</f>
        <v>2046</v>
      </c>
      <c r="J171" s="14" t="s">
        <v>120</v>
      </c>
      <c r="L171" s="2"/>
    </row>
    <row r="172" spans="1:12" ht="47.25" x14ac:dyDescent="0.3">
      <c r="A172" s="34"/>
      <c r="B172" s="14"/>
      <c r="C172" s="14"/>
      <c r="D172" s="43" t="s">
        <v>240</v>
      </c>
      <c r="E172" s="41"/>
      <c r="F172" s="41">
        <v>30</v>
      </c>
      <c r="G172" s="38" t="s">
        <v>116</v>
      </c>
      <c r="H172" s="41">
        <f>8663.4/F172</f>
        <v>288.77999999999997</v>
      </c>
      <c r="I172" s="57">
        <f t="shared" si="9"/>
        <v>8663.4</v>
      </c>
      <c r="J172" s="14" t="s">
        <v>120</v>
      </c>
      <c r="L172" s="2"/>
    </row>
    <row r="173" spans="1:12" ht="47.25" x14ac:dyDescent="0.3">
      <c r="A173" s="34"/>
      <c r="B173" s="14"/>
      <c r="C173" s="14"/>
      <c r="D173" s="43" t="s">
        <v>241</v>
      </c>
      <c r="E173" s="41"/>
      <c r="F173" s="41">
        <f>30</f>
        <v>30</v>
      </c>
      <c r="G173" s="38" t="s">
        <v>116</v>
      </c>
      <c r="H173" s="41">
        <f>17698.2/F173</f>
        <v>589.94000000000005</v>
      </c>
      <c r="I173" s="57">
        <f t="shared" si="9"/>
        <v>17698.2</v>
      </c>
      <c r="J173" s="14" t="s">
        <v>120</v>
      </c>
      <c r="L173" s="2"/>
    </row>
    <row r="174" spans="1:12" ht="18.75" x14ac:dyDescent="0.3">
      <c r="A174" s="34" t="s">
        <v>242</v>
      </c>
      <c r="B174" s="14"/>
      <c r="C174" s="14"/>
      <c r="D174" s="43" t="s">
        <v>243</v>
      </c>
      <c r="E174" s="41"/>
      <c r="F174" s="41">
        <v>6.7</v>
      </c>
      <c r="G174" s="38" t="s">
        <v>159</v>
      </c>
      <c r="H174" s="44">
        <f>2471.2/F174</f>
        <v>368.83582089552237</v>
      </c>
      <c r="I174" s="57">
        <f t="shared" si="9"/>
        <v>2471.1999999999998</v>
      </c>
      <c r="J174" s="41" t="s">
        <v>120</v>
      </c>
      <c r="L174" s="2"/>
    </row>
    <row r="175" spans="1:12" ht="18.75" x14ac:dyDescent="0.3">
      <c r="A175" s="34"/>
      <c r="B175" s="14"/>
      <c r="C175" s="14"/>
      <c r="D175" s="43" t="s">
        <v>244</v>
      </c>
      <c r="E175" s="41"/>
      <c r="F175" s="41">
        <v>67.45</v>
      </c>
      <c r="G175" s="38" t="s">
        <v>157</v>
      </c>
      <c r="H175" s="44">
        <f>8451.4/F175</f>
        <v>125.29873980726462</v>
      </c>
      <c r="I175" s="57">
        <f>F175*H175</f>
        <v>8451.4</v>
      </c>
      <c r="J175" s="41" t="s">
        <v>120</v>
      </c>
      <c r="L175" s="2"/>
    </row>
    <row r="176" spans="1:12" ht="31.5" x14ac:dyDescent="0.3">
      <c r="A176" s="34"/>
      <c r="B176" s="14"/>
      <c r="C176" s="14"/>
      <c r="D176" s="43" t="s">
        <v>245</v>
      </c>
      <c r="E176" s="41"/>
      <c r="F176" s="41">
        <v>19.2</v>
      </c>
      <c r="G176" s="38" t="s">
        <v>116</v>
      </c>
      <c r="H176" s="41">
        <f>22900.2/F176</f>
        <v>1192.71875</v>
      </c>
      <c r="I176" s="57">
        <f t="shared" ref="I176:I177" si="10">F176*H176</f>
        <v>22900.2</v>
      </c>
      <c r="J176" s="14" t="s">
        <v>120</v>
      </c>
      <c r="L176" s="2"/>
    </row>
    <row r="177" spans="1:12" ht="47.25" x14ac:dyDescent="0.3">
      <c r="A177" s="34"/>
      <c r="B177" s="14"/>
      <c r="C177" s="14"/>
      <c r="D177" s="43" t="s">
        <v>246</v>
      </c>
      <c r="E177" s="41"/>
      <c r="F177" s="41">
        <v>20.83</v>
      </c>
      <c r="G177" s="38" t="s">
        <v>116</v>
      </c>
      <c r="H177" s="44">
        <f>4005.2/F177</f>
        <v>192.28036485837734</v>
      </c>
      <c r="I177" s="57">
        <f t="shared" si="10"/>
        <v>4005.2</v>
      </c>
      <c r="J177" s="14" t="s">
        <v>120</v>
      </c>
      <c r="L177" s="2"/>
    </row>
    <row r="178" spans="1:12" ht="18.75" x14ac:dyDescent="0.3">
      <c r="A178" s="34"/>
      <c r="B178" s="14"/>
      <c r="C178" s="14"/>
      <c r="D178" s="43" t="s">
        <v>251</v>
      </c>
      <c r="E178" s="41"/>
      <c r="F178" s="41">
        <v>1</v>
      </c>
      <c r="G178" s="38" t="s">
        <v>31</v>
      </c>
      <c r="H178" s="41">
        <v>6200</v>
      </c>
      <c r="I178" s="57">
        <f>F178*H178</f>
        <v>6200</v>
      </c>
      <c r="J178" s="14" t="s">
        <v>120</v>
      </c>
      <c r="L178" s="2"/>
    </row>
    <row r="179" spans="1:12" ht="18.75" x14ac:dyDescent="0.3">
      <c r="A179" s="34" t="s">
        <v>160</v>
      </c>
      <c r="B179" s="14"/>
      <c r="C179" s="14"/>
      <c r="D179" s="43" t="s">
        <v>226</v>
      </c>
      <c r="E179" s="41"/>
      <c r="F179" s="41">
        <v>8</v>
      </c>
      <c r="G179" s="38" t="s">
        <v>31</v>
      </c>
      <c r="H179" s="41">
        <f>913/F179</f>
        <v>114.125</v>
      </c>
      <c r="I179" s="57">
        <f t="shared" ref="I179:I180" si="11">F179*H179</f>
        <v>913</v>
      </c>
      <c r="J179" s="14" t="s">
        <v>126</v>
      </c>
      <c r="L179" s="2"/>
    </row>
    <row r="180" spans="1:12" ht="18.75" x14ac:dyDescent="0.3">
      <c r="A180" s="34"/>
      <c r="B180" s="14"/>
      <c r="C180" s="14"/>
      <c r="D180" s="43" t="s">
        <v>227</v>
      </c>
      <c r="E180" s="41"/>
      <c r="F180" s="41">
        <v>3</v>
      </c>
      <c r="G180" s="38" t="s">
        <v>116</v>
      </c>
      <c r="H180" s="44">
        <f>1615/F180</f>
        <v>538.33333333333337</v>
      </c>
      <c r="I180" s="57">
        <f t="shared" si="11"/>
        <v>1615</v>
      </c>
      <c r="J180" s="14" t="s">
        <v>126</v>
      </c>
      <c r="L180" s="2"/>
    </row>
    <row r="181" spans="1:12" ht="47.25" x14ac:dyDescent="0.3">
      <c r="A181" s="34"/>
      <c r="B181" s="14"/>
      <c r="C181" s="14"/>
      <c r="D181" s="43" t="s">
        <v>229</v>
      </c>
      <c r="E181" s="41"/>
      <c r="F181" s="41">
        <v>3</v>
      </c>
      <c r="G181" s="38" t="s">
        <v>31</v>
      </c>
      <c r="H181" s="44">
        <f>9507.6/F181</f>
        <v>3169.2000000000003</v>
      </c>
      <c r="I181" s="57">
        <f>F181*H181</f>
        <v>9507.6</v>
      </c>
      <c r="J181" s="14" t="s">
        <v>126</v>
      </c>
      <c r="L181" s="2"/>
    </row>
    <row r="182" spans="1:12" ht="47.25" x14ac:dyDescent="0.3">
      <c r="A182" s="34"/>
      <c r="B182" s="14"/>
      <c r="C182" s="14"/>
      <c r="D182" s="43" t="s">
        <v>188</v>
      </c>
      <c r="E182" s="14"/>
      <c r="F182" s="14"/>
      <c r="G182" s="38" t="s">
        <v>116</v>
      </c>
      <c r="H182" s="14">
        <v>126.69</v>
      </c>
      <c r="I182" s="62">
        <f t="shared" ref="I182" si="12">F182*H182</f>
        <v>0</v>
      </c>
      <c r="J182" s="14" t="s">
        <v>126</v>
      </c>
      <c r="L182" s="2"/>
    </row>
    <row r="183" spans="1:12" ht="15.75" x14ac:dyDescent="0.25">
      <c r="A183" s="25"/>
      <c r="B183" s="25"/>
      <c r="C183" s="25"/>
      <c r="D183" s="43" t="s">
        <v>218</v>
      </c>
      <c r="E183" s="41" t="s">
        <v>146</v>
      </c>
      <c r="F183" s="41">
        <v>5</v>
      </c>
      <c r="G183" s="38" t="s">
        <v>116</v>
      </c>
      <c r="H183" s="41">
        <f>3854.2/F183</f>
        <v>770.83999999999992</v>
      </c>
      <c r="I183" s="57">
        <f>F183*H183</f>
        <v>3854.2</v>
      </c>
      <c r="J183" s="14" t="s">
        <v>126</v>
      </c>
      <c r="K183" s="2"/>
      <c r="L183" s="2"/>
    </row>
    <row r="184" spans="1:12" ht="15.75" x14ac:dyDescent="0.25">
      <c r="A184" s="25"/>
      <c r="B184" s="25"/>
      <c r="C184" s="25"/>
      <c r="D184" s="43" t="s">
        <v>221</v>
      </c>
      <c r="E184" s="41"/>
      <c r="F184" s="41">
        <f>1+1</f>
        <v>2</v>
      </c>
      <c r="G184" s="38" t="s">
        <v>222</v>
      </c>
      <c r="H184" s="41">
        <f>(6000+6000)/F184</f>
        <v>6000</v>
      </c>
      <c r="I184" s="57">
        <f>F184*H184</f>
        <v>12000</v>
      </c>
      <c r="J184" s="14" t="s">
        <v>126</v>
      </c>
      <c r="K184" s="2"/>
      <c r="L184" s="2"/>
    </row>
    <row r="185" spans="1:12" ht="15.75" x14ac:dyDescent="0.25">
      <c r="A185" s="25"/>
      <c r="B185" s="25"/>
      <c r="C185" s="25"/>
      <c r="D185" s="43"/>
      <c r="E185" s="41"/>
      <c r="F185" s="41"/>
      <c r="G185" s="38"/>
      <c r="H185" s="41"/>
      <c r="I185" s="44">
        <f>SUM(I164:I184)</f>
        <v>323949.80000000005</v>
      </c>
      <c r="J185" s="14"/>
      <c r="K185" s="2"/>
      <c r="L185" s="2"/>
    </row>
    <row r="186" spans="1:12" ht="15.75" x14ac:dyDescent="0.25">
      <c r="A186" s="53" t="s">
        <v>254</v>
      </c>
      <c r="B186" s="25"/>
      <c r="C186" s="25"/>
      <c r="D186" s="43"/>
      <c r="E186" s="52"/>
      <c r="F186" s="52"/>
      <c r="G186" s="38"/>
      <c r="H186" s="52"/>
      <c r="I186" s="67">
        <f>I6+I7+I8+I30+I31+I32+I33+I45+I46+I47+I48+I52+I64+I65+I80+I81+I82+I83+I102+I109+I115+I116+I118+I119+I120+I126+I127+I128+I131+I164+I165+I166+I167+I168+I169+I170+I171+I172+I173+I174+I175+I176+I177+I178+I179+I180+I181+I183+I184</f>
        <v>1337264.1999999995</v>
      </c>
      <c r="J186" s="14"/>
      <c r="K186" s="66"/>
      <c r="L186" s="2"/>
    </row>
    <row r="187" spans="1:12" ht="15.75" x14ac:dyDescent="0.25">
      <c r="A187" s="53" t="s">
        <v>206</v>
      </c>
      <c r="B187" s="25"/>
      <c r="C187" s="25"/>
      <c r="D187" s="43"/>
      <c r="E187" s="52"/>
      <c r="F187" s="52"/>
      <c r="G187" s="38"/>
      <c r="H187" s="52"/>
      <c r="I187" s="67">
        <f>I20+I42+I69+I89+I111+I123+I133+I147+I152+I158+I185</f>
        <v>1732062.3333333333</v>
      </c>
      <c r="J187" s="14"/>
      <c r="K187" s="2"/>
      <c r="L187" s="2"/>
    </row>
    <row r="188" spans="1:12" ht="99.75" customHeight="1" x14ac:dyDescent="0.25">
      <c r="A188" s="68" t="s">
        <v>107</v>
      </c>
      <c r="B188" s="68"/>
      <c r="C188" s="68"/>
      <c r="D188" s="68"/>
      <c r="E188" s="68"/>
      <c r="F188" s="68"/>
      <c r="G188" s="68"/>
      <c r="H188" s="68"/>
      <c r="I188" s="68"/>
      <c r="J188" s="68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65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16"/>
      <c r="E196" s="16"/>
      <c r="F196" s="2"/>
      <c r="G196" s="2"/>
      <c r="H196" s="2"/>
      <c r="I196" s="2"/>
      <c r="J196" s="2"/>
      <c r="K196" s="2"/>
      <c r="L196" s="2"/>
    </row>
    <row r="197" spans="1:12" ht="15.75" x14ac:dyDescent="0.25">
      <c r="A197" s="2"/>
      <c r="B197" s="2"/>
      <c r="C197" s="2"/>
      <c r="D197" s="16"/>
      <c r="E197" s="16"/>
      <c r="F197" s="2"/>
      <c r="G197" s="2"/>
      <c r="H197" s="2"/>
      <c r="I197" s="2"/>
      <c r="J197" s="2"/>
      <c r="K197" s="2"/>
      <c r="L197" s="2"/>
    </row>
    <row r="198" spans="1:12" ht="15.75" x14ac:dyDescent="0.25">
      <c r="A198" s="2"/>
      <c r="B198" s="2"/>
      <c r="C198" s="2"/>
      <c r="D198" s="16"/>
      <c r="E198" s="16"/>
      <c r="F198" s="2"/>
      <c r="G198" s="2"/>
      <c r="H198" s="2"/>
      <c r="I198" s="2"/>
      <c r="J198" s="2"/>
      <c r="K198" s="2"/>
      <c r="L198" s="2"/>
    </row>
    <row r="199" spans="1:12" ht="15.75" x14ac:dyDescent="0.25">
      <c r="A199" s="2"/>
      <c r="B199" s="2"/>
      <c r="C199" s="2"/>
      <c r="D199" s="16"/>
      <c r="E199" s="16"/>
      <c r="F199" s="2"/>
      <c r="G199" s="2"/>
      <c r="H199" s="2"/>
      <c r="I199" s="2"/>
      <c r="J199" s="2"/>
      <c r="K199" s="2"/>
      <c r="L199" s="2"/>
    </row>
    <row r="200" spans="1:12" ht="15.75" x14ac:dyDescent="0.25">
      <c r="A200" s="2"/>
      <c r="B200" s="2"/>
      <c r="C200" s="2"/>
      <c r="D200" s="16"/>
      <c r="E200" s="16"/>
      <c r="F200" s="2"/>
      <c r="G200" s="2"/>
      <c r="H200" s="2"/>
      <c r="I200" s="2"/>
      <c r="J200" s="2"/>
      <c r="K200" s="2"/>
      <c r="L200" s="2"/>
    </row>
    <row r="201" spans="1:12" ht="15.75" x14ac:dyDescent="0.25">
      <c r="A201" s="2"/>
      <c r="B201" s="2"/>
      <c r="C201" s="2"/>
      <c r="D201" s="16"/>
      <c r="E201" s="16"/>
      <c r="F201" s="2"/>
      <c r="G201" s="2"/>
      <c r="H201" s="2"/>
      <c r="I201" s="2"/>
      <c r="J201" s="2"/>
      <c r="K201" s="2"/>
      <c r="L201" s="2"/>
    </row>
    <row r="202" spans="1:12" ht="15.75" x14ac:dyDescent="0.25">
      <c r="A202" s="2"/>
      <c r="B202" s="2"/>
      <c r="C202" s="2"/>
      <c r="D202" s="16"/>
      <c r="E202" s="16"/>
      <c r="F202" s="2"/>
      <c r="G202" s="2"/>
      <c r="H202" s="2"/>
      <c r="I202" s="2"/>
      <c r="J202" s="2"/>
      <c r="K202" s="2"/>
      <c r="L202" s="2"/>
    </row>
    <row r="203" spans="1:12" ht="15.75" x14ac:dyDescent="0.25">
      <c r="A203" s="2"/>
      <c r="B203" s="2"/>
      <c r="C203" s="2"/>
      <c r="D203" s="16"/>
      <c r="E203" s="16"/>
      <c r="F203" s="2"/>
      <c r="G203" s="2"/>
      <c r="H203" s="2"/>
      <c r="I203" s="2"/>
      <c r="J203" s="2"/>
      <c r="K203" s="2"/>
      <c r="L203" s="2"/>
    </row>
    <row r="204" spans="1:12" ht="15.75" x14ac:dyDescent="0.25">
      <c r="A204" s="2"/>
      <c r="B204" s="2"/>
      <c r="C204" s="2"/>
      <c r="D204" s="16"/>
      <c r="E204" s="16"/>
      <c r="F204" s="2"/>
      <c r="G204" s="2"/>
      <c r="H204" s="2"/>
      <c r="I204" s="2"/>
      <c r="J204" s="2"/>
      <c r="K204" s="2"/>
      <c r="L204" s="2"/>
    </row>
    <row r="205" spans="1:12" ht="15.75" x14ac:dyDescent="0.25">
      <c r="A205" s="2"/>
      <c r="B205" s="2"/>
      <c r="C205" s="2"/>
      <c r="D205" s="16"/>
      <c r="E205" s="16"/>
      <c r="F205" s="2"/>
      <c r="G205" s="2"/>
      <c r="H205" s="2"/>
      <c r="I205" s="2"/>
      <c r="J205" s="2"/>
      <c r="K205" s="2"/>
      <c r="L205" s="2"/>
    </row>
    <row r="206" spans="1:12" ht="15.75" x14ac:dyDescent="0.25">
      <c r="A206" s="2"/>
      <c r="B206" s="2"/>
      <c r="C206" s="2"/>
      <c r="D206" s="16"/>
      <c r="E206" s="16"/>
      <c r="F206" s="2"/>
      <c r="G206" s="2"/>
      <c r="H206" s="2"/>
      <c r="I206" s="2"/>
      <c r="J206" s="2"/>
      <c r="K206" s="2"/>
      <c r="L206" s="2"/>
    </row>
    <row r="207" spans="1:12" ht="15.75" x14ac:dyDescent="0.25">
      <c r="A207" s="2"/>
      <c r="B207" s="2"/>
      <c r="C207" s="2"/>
      <c r="D207" s="16"/>
      <c r="E207" s="16"/>
      <c r="F207" s="2"/>
      <c r="G207" s="2"/>
      <c r="H207" s="2"/>
      <c r="I207" s="2"/>
      <c r="J207" s="2"/>
      <c r="K207" s="2"/>
      <c r="L207" s="2"/>
    </row>
    <row r="208" spans="1:12" ht="15.75" x14ac:dyDescent="0.25">
      <c r="A208" s="2"/>
      <c r="B208" s="2"/>
      <c r="C208" s="2"/>
      <c r="D208" s="16"/>
      <c r="E208" s="16"/>
      <c r="F208" s="2"/>
      <c r="G208" s="2"/>
      <c r="H208" s="2"/>
      <c r="I208" s="2"/>
      <c r="J208" s="2"/>
      <c r="K208" s="2"/>
      <c r="L208" s="2"/>
    </row>
    <row r="209" spans="1:12" ht="15.75" x14ac:dyDescent="0.25">
      <c r="A209" s="2"/>
      <c r="B209" s="2"/>
      <c r="C209" s="2"/>
      <c r="D209" s="16"/>
      <c r="E209" s="16"/>
      <c r="F209" s="2"/>
      <c r="G209" s="2"/>
      <c r="H209" s="2"/>
      <c r="I209" s="2"/>
      <c r="J209" s="2"/>
      <c r="K209" s="2"/>
      <c r="L209" s="2"/>
    </row>
    <row r="210" spans="1:12" ht="15.75" x14ac:dyDescent="0.25">
      <c r="A210" s="2"/>
      <c r="B210" s="2"/>
      <c r="C210" s="2"/>
      <c r="D210" s="16"/>
      <c r="E210" s="16"/>
      <c r="F210" s="2"/>
      <c r="G210" s="2"/>
      <c r="H210" s="2"/>
      <c r="I210" s="2"/>
      <c r="J210" s="2"/>
      <c r="K210" s="2"/>
      <c r="L210" s="2"/>
    </row>
    <row r="211" spans="1:12" ht="15.75" x14ac:dyDescent="0.25">
      <c r="A211" s="2"/>
      <c r="B211" s="2"/>
      <c r="C211" s="2"/>
      <c r="D211" s="16"/>
      <c r="E211" s="16"/>
      <c r="F211" s="2"/>
      <c r="G211" s="2"/>
      <c r="H211" s="2"/>
      <c r="I211" s="2"/>
      <c r="J211" s="2"/>
      <c r="K211" s="2"/>
      <c r="L211" s="2"/>
    </row>
    <row r="212" spans="1:12" ht="15.75" x14ac:dyDescent="0.25">
      <c r="A212" s="2"/>
      <c r="B212" s="2"/>
      <c r="C212" s="2"/>
      <c r="D212" s="16"/>
      <c r="E212" s="16"/>
      <c r="F212" s="2"/>
      <c r="G212" s="2"/>
      <c r="H212" s="2"/>
      <c r="I212" s="2"/>
      <c r="J212" s="2"/>
      <c r="K212" s="2"/>
      <c r="L212" s="2"/>
    </row>
    <row r="213" spans="1:12" ht="15.75" x14ac:dyDescent="0.25">
      <c r="A213" s="2"/>
      <c r="B213" s="2"/>
      <c r="C213" s="2"/>
      <c r="D213" s="16"/>
      <c r="E213" s="16"/>
      <c r="F213" s="2"/>
      <c r="G213" s="2"/>
      <c r="H213" s="2"/>
      <c r="I213" s="2"/>
      <c r="J213" s="2"/>
      <c r="K213" s="2"/>
      <c r="L213" s="2"/>
    </row>
    <row r="214" spans="1:12" ht="15.75" x14ac:dyDescent="0.25">
      <c r="A214" s="2"/>
      <c r="B214" s="2"/>
      <c r="C214" s="2"/>
      <c r="D214" s="16"/>
      <c r="E214" s="16"/>
      <c r="F214" s="2"/>
      <c r="G214" s="2"/>
      <c r="H214" s="2"/>
      <c r="I214" s="2"/>
      <c r="J214" s="2"/>
      <c r="K214" s="2"/>
      <c r="L214" s="2"/>
    </row>
  </sheetData>
  <mergeCells count="16">
    <mergeCell ref="A188:J188"/>
    <mergeCell ref="A2:J2"/>
    <mergeCell ref="A163:G163"/>
    <mergeCell ref="H163:J163"/>
    <mergeCell ref="I1:J1"/>
    <mergeCell ref="A112:G112"/>
    <mergeCell ref="A134:G134"/>
    <mergeCell ref="A159:G159"/>
    <mergeCell ref="A43:G43"/>
    <mergeCell ref="A21:G21"/>
    <mergeCell ref="A4:G4"/>
    <mergeCell ref="A148:G148"/>
    <mergeCell ref="A70:G70"/>
    <mergeCell ref="A90:G90"/>
    <mergeCell ref="A124:G124"/>
    <mergeCell ref="A153:G153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2024-03-06T11:16:26Z</dcterms:modified>
</cp:coreProperties>
</file>