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71" i="1" l="1"/>
  <c r="I169" i="1"/>
  <c r="I157" i="1"/>
  <c r="I146" i="1"/>
  <c r="I142" i="1"/>
  <c r="I129" i="1"/>
  <c r="I117" i="1"/>
  <c r="I84" i="1"/>
  <c r="I99" i="1"/>
  <c r="F101" i="1"/>
  <c r="H101" i="1" s="1"/>
  <c r="H86" i="1"/>
  <c r="F86" i="1"/>
  <c r="I86" i="1" s="1"/>
  <c r="I56" i="1"/>
  <c r="I37" i="1"/>
  <c r="I17" i="1"/>
  <c r="I170" i="1"/>
  <c r="H161" i="1"/>
  <c r="F161" i="1"/>
  <c r="I30" i="1"/>
  <c r="H30" i="1"/>
  <c r="I101" i="1" l="1"/>
  <c r="I137" i="1"/>
  <c r="I131" i="1"/>
  <c r="H131" i="1"/>
  <c r="F131" i="1"/>
  <c r="F155" i="1"/>
  <c r="H155" i="1" l="1"/>
  <c r="I155" i="1" s="1"/>
  <c r="H115" i="1" l="1"/>
  <c r="I115" i="1" s="1"/>
  <c r="H119" i="1"/>
  <c r="F119" i="1"/>
  <c r="F141" i="1"/>
  <c r="H141" i="1" s="1"/>
  <c r="H124" i="1"/>
  <c r="F124" i="1"/>
  <c r="H137" i="1"/>
  <c r="F137" i="1"/>
  <c r="H139" i="1"/>
  <c r="F139" i="1"/>
  <c r="H60" i="1"/>
  <c r="I7" i="1"/>
  <c r="H7" i="1"/>
  <c r="F162" i="1"/>
  <c r="H162" i="1" s="1"/>
  <c r="I45" i="1"/>
  <c r="H45" i="1"/>
  <c r="F45" i="1"/>
  <c r="I113" i="1"/>
  <c r="H113" i="1"/>
  <c r="F113" i="1"/>
  <c r="H69" i="1"/>
  <c r="F69" i="1"/>
  <c r="I69" i="1" s="1"/>
  <c r="H144" i="1"/>
  <c r="F144" i="1"/>
  <c r="I111" i="1" l="1"/>
  <c r="H111" i="1"/>
  <c r="F111" i="1"/>
  <c r="I97" i="1"/>
  <c r="H97" i="1"/>
  <c r="F97" i="1"/>
  <c r="H74" i="1" l="1"/>
  <c r="F74" i="1"/>
  <c r="I63" i="1"/>
  <c r="H63" i="1"/>
  <c r="F63" i="1"/>
  <c r="I166" i="1" l="1"/>
  <c r="H166" i="1"/>
  <c r="I96" i="1"/>
  <c r="H96" i="1"/>
  <c r="F96" i="1"/>
  <c r="H77" i="1"/>
  <c r="F77" i="1"/>
  <c r="I79" i="1"/>
  <c r="H79" i="1"/>
  <c r="F79" i="1"/>
  <c r="I78" i="1"/>
  <c r="H78" i="1"/>
  <c r="F78" i="1"/>
  <c r="H21" i="1"/>
  <c r="H22" i="1"/>
  <c r="F22" i="1"/>
  <c r="H62" i="1"/>
  <c r="F62" i="1"/>
  <c r="H61" i="1"/>
  <c r="F61" i="1"/>
  <c r="I5" i="1" l="1"/>
  <c r="H5" i="1"/>
  <c r="H53" i="1"/>
  <c r="I53" i="1" s="1"/>
  <c r="I52" i="1"/>
  <c r="H52" i="1"/>
  <c r="F52" i="1"/>
  <c r="I164" i="1"/>
  <c r="H164" i="1"/>
  <c r="I19" i="1"/>
  <c r="H19" i="1"/>
  <c r="F19" i="1"/>
  <c r="I40" i="1"/>
  <c r="H40" i="1"/>
  <c r="F40" i="1"/>
  <c r="I39" i="1"/>
  <c r="H39" i="1"/>
  <c r="F39" i="1"/>
  <c r="F160" i="1"/>
  <c r="F159" i="1"/>
  <c r="I46" i="1"/>
  <c r="H46" i="1"/>
  <c r="F46" i="1"/>
  <c r="F60" i="1"/>
  <c r="I161" i="1"/>
  <c r="I160" i="1"/>
  <c r="I159" i="1"/>
  <c r="I162" i="1" l="1"/>
  <c r="I152" i="1" l="1"/>
  <c r="I21" i="1" l="1"/>
  <c r="I22" i="1"/>
  <c r="I81" i="1"/>
  <c r="I75" i="1"/>
  <c r="I80" i="1"/>
  <c r="I74" i="1"/>
  <c r="I119" i="1"/>
  <c r="I62" i="1"/>
  <c r="I141" i="1"/>
  <c r="I124" i="1" l="1"/>
  <c r="I112" i="1" l="1"/>
  <c r="I144" i="1"/>
  <c r="I77" i="1" l="1"/>
  <c r="I156" i="1" l="1"/>
  <c r="I60" i="1" l="1"/>
  <c r="I61" i="1" l="1"/>
  <c r="I139" i="1"/>
  <c r="I148" i="1" l="1"/>
  <c r="I145" i="1"/>
</calcChain>
</file>

<file path=xl/sharedStrings.xml><?xml version="1.0" encoding="utf-8"?>
<sst xmlns="http://schemas.openxmlformats.org/spreadsheetml/2006/main" count="696" uniqueCount="240">
  <si>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</si>
  <si>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</si>
  <si>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</si>
  <si>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</si>
  <si>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</si>
  <si>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</si>
  <si>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</si>
  <si>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</si>
  <si>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</si>
  <si>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</si>
  <si>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</si>
  <si>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</si>
  <si>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</si>
  <si>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</si>
  <si>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</si>
  <si>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</si>
  <si>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</si>
  <si>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</si>
  <si>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</si>
  <si>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</si>
  <si>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</si>
  <si>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</si>
  <si>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</si>
  <si>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</si>
  <si>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</si>
  <si>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</si>
  <si>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</si>
  <si>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</si>
  <si>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</si>
  <si>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</si>
  <si>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</si>
  <si>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</si>
  <si>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</si>
  <si>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</si>
  <si>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</si>
  <si>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</si>
  <si>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</si>
  <si>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</si>
  <si>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</si>
  <si>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</si>
  <si>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</si>
  <si>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</si>
  <si>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</si>
  <si>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</si>
  <si>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</si>
  <si>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</si>
  <si>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</si>
  <si>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</si>
  <si>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</si>
  <si>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</si>
  <si>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</si>
  <si>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</si>
  <si>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</si>
  <si>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</si>
  <si>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</si>
  <si>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</si>
  <si>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</si>
  <si>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</si>
  <si>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</si>
  <si>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</si>
  <si>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</si>
  <si>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</si>
  <si>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</si>
  <si>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</si>
  <si>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</si>
  <si>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</si>
  <si>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</si>
  <si>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</si>
  <si>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</si>
  <si>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</si>
  <si>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</si>
  <si>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</si>
  <si>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</si>
  <si>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</si>
  <si>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</si>
  <si>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</si>
  <si>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</si>
  <si>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</si>
  <si>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</si>
  <si>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</si>
  <si>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</si>
  <si>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</si>
  <si>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</si>
  <si>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</si>
  <si>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</si>
  <si>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</si>
  <si>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</si>
  <si>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</si>
  <si>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</si>
  <si>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</si>
  <si>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</si>
  <si>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</si>
  <si>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</si>
  <si>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</si>
  <si>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</si>
  <si>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</si>
  <si>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</si>
  <si>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</si>
  <si>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</si>
  <si>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</si>
  <si>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</si>
  <si>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</si>
  <si>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</si>
  <si>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</si>
  <si>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</si>
  <si>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</si>
  <si>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</si>
  <si>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</si>
  <si>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</si>
  <si>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</si>
  <si>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</si>
  <si>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</si>
  <si>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</si>
  <si>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</si>
  <si>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</si>
  <si>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</si>
  <si>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</si>
  <si>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</si>
  <si>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</si>
  <si>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</si>
  <si>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</si>
  <si>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</si>
  <si>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</si>
  <si>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</si>
  <si>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</si>
  <si>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</si>
  <si>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</si>
  <si>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</si>
  <si>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</si>
  <si>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</si>
  <si>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</si>
  <si>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</si>
  <si>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</si>
  <si>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</si>
  <si>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</si>
  <si>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</si>
  <si>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</si>
  <si>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</si>
  <si>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</si>
  <si>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</si>
  <si>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</si>
  <si>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</si>
  <si>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</si>
  <si>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</si>
  <si>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</si>
  <si>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</si>
  <si>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</si>
  <si>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</si>
  <si>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</si>
  <si>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</si>
  <si>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</si>
  <si>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</si>
  <si>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</si>
  <si>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</si>
  <si>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</si>
  <si>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</si>
  <si>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</si>
  <si>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</si>
  <si>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</si>
  <si>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</si>
  <si>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</si>
  <si>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</si>
  <si>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</si>
  <si>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</si>
  <si>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</si>
  <si>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</si>
  <si>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</si>
  <si>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</si>
  <si>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</si>
  <si>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</si>
  <si>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</si>
  <si>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</si>
  <si>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</si>
  <si>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</si>
  <si>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</si>
  <si>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</si>
  <si>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</si>
  <si>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</si>
  <si>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</si>
  <si>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</si>
  <si>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</si>
  <si>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</si>
  <si>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</si>
  <si>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</si>
  <si>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</si>
  <si>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</si>
  <si>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</si>
  <si>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</si>
  <si>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</si>
  <si>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</si>
  <si>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</si>
  <si>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</si>
  <si>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</si>
  <si>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</si>
  <si>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</si>
  <si>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</si>
  <si>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</si>
  <si>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</si>
  <si>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установка контейнера ТКО-0,4м3 с крышкой</t>
  </si>
  <si>
    <t xml:space="preserve"> смена кранов на шаровые краны диам.15,25мм</t>
  </si>
  <si>
    <t>смена внутренних трубопроводов из стальных труб диам. 32мм</t>
  </si>
  <si>
    <t>установка радиатора</t>
  </si>
  <si>
    <t>кВт</t>
  </si>
  <si>
    <t>установка стальных перил на пандус</t>
  </si>
  <si>
    <t xml:space="preserve">простая окраска скамеек </t>
  </si>
  <si>
    <t>откидной пандус для детских колясок</t>
  </si>
  <si>
    <t>смена выключателей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</si>
  <si>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</si>
  <si>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</si>
  <si>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внутренних трубопроводов из стальных труб диам. 25мм</t>
  </si>
  <si>
    <t>смена задвижек диам. 100мм на шаровые краны</t>
  </si>
  <si>
    <t>разборка трубопроводов из чугунных канализационных труб диам.50мм</t>
  </si>
  <si>
    <t>смена трубопроводов из полиэтиленовых труб диам. 50мм</t>
  </si>
  <si>
    <t>разборка трубопроводов из чугунных канализационных труб диам.100мм</t>
  </si>
  <si>
    <t>установка дверного доводчика</t>
  </si>
  <si>
    <t>ремонт и восстановление уплотнения стыков прокладками ПРП в 1 ряд</t>
  </si>
  <si>
    <t>ремонт парапета на кровле подъезд №2</t>
  </si>
  <si>
    <t>ремонт ступеней бетонных</t>
  </si>
  <si>
    <t>смена выключателей нагрузки</t>
  </si>
  <si>
    <t>Всего</t>
  </si>
  <si>
    <t xml:space="preserve">
Отчет о выполнении работ по текущему ремонту общего имущества 
в многоквартирном доме по адресу: г.Щёлково, ул.Заречная, дом 6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</si>
  <si>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</si>
  <si>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</si>
  <si>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 xml:space="preserve"> смена кранов на шаровые краны диам.15мм</t>
  </si>
  <si>
    <t>ремонт и окраска дверей (восстановление фурнитуры и остекления) ручки-скобы</t>
  </si>
  <si>
    <t>окраска масляными составами ранее окрашенных больших металлических поверхностей (кроме крыш) за один раз</t>
  </si>
  <si>
    <t>ремонт металлических ограждений мелкий</t>
  </si>
  <si>
    <t>смена керамогранитных плит:до 6шт.</t>
  </si>
  <si>
    <t>смена керамогранитных плит:до 10шт.</t>
  </si>
  <si>
    <t>ремонт мягкого покрытия кровли над квартирой 33 и лифтовой шахтой 1 подъезда</t>
  </si>
  <si>
    <t>установка элеваторов после прочистки</t>
  </si>
  <si>
    <t>демонтаж фильтров</t>
  </si>
  <si>
    <t>установка фильтров 50мм</t>
  </si>
  <si>
    <t>смена задвижек диам. 80мм на шаровые краны</t>
  </si>
  <si>
    <t>справка о техническом состоянии здания</t>
  </si>
  <si>
    <t>установка шайб диаметром трубопроводов до 100мм</t>
  </si>
  <si>
    <t>смена существующих рулонных кровель на покрытия из наплавляемых рулонных материалов в один слой</t>
  </si>
  <si>
    <t>замена крана шарового  кв 35</t>
  </si>
  <si>
    <t>выполнение работ по закреплению металлического молниеотвода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</si>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</sst>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0" borderId="1" xfId="0" applyFont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1" fillId="2" borderId="4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topLeftCell="A158" zoomScale="91" zoomScaleNormal="91" workbookViewId="0">
      <selection activeCell="F174" sqref="F174:J18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0" t="s">
        <v>98</v>
      </c>
      <c r="J1" s="70"/>
    </row>
    <row r="2" spans="1:12" ht="70.5" customHeight="1" x14ac:dyDescent="0.25">
      <c r="A2" s="65" t="s">
        <v>220</v>
      </c>
      <c r="B2" s="66"/>
      <c r="C2" s="66"/>
      <c r="D2" s="66"/>
      <c r="E2" s="66"/>
      <c r="F2" s="66"/>
      <c r="G2" s="66"/>
      <c r="H2" s="66"/>
      <c r="I2" s="66"/>
      <c r="J2" s="66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71" t="s">
        <v>89</v>
      </c>
      <c r="B4" s="72"/>
      <c r="C4" s="72"/>
      <c r="D4" s="72"/>
      <c r="E4" s="72"/>
      <c r="F4" s="72"/>
      <c r="G4" s="73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229</v>
      </c>
      <c r="E5" s="41" t="s">
        <v>143</v>
      </c>
      <c r="F5" s="41">
        <v>1</v>
      </c>
      <c r="G5" s="13" t="s">
        <v>146</v>
      </c>
      <c r="H5" s="41">
        <f>403650/F5</f>
        <v>403650</v>
      </c>
      <c r="I5" s="53">
        <f>F5*H5</f>
        <v>403650</v>
      </c>
      <c r="J5" s="13" t="s">
        <v>125</v>
      </c>
      <c r="K5" s="2"/>
      <c r="L5" s="2"/>
    </row>
    <row r="6" spans="1:12" ht="18.75" x14ac:dyDescent="0.3">
      <c r="A6" s="6"/>
      <c r="B6" s="5"/>
      <c r="C6" s="4"/>
      <c r="D6" s="15" t="s">
        <v>122</v>
      </c>
      <c r="E6" s="41"/>
      <c r="F6" s="41"/>
      <c r="G6" s="13" t="s">
        <v>115</v>
      </c>
      <c r="H6" s="41"/>
      <c r="I6" s="46"/>
      <c r="J6" s="13"/>
      <c r="K6" s="2"/>
      <c r="L6" s="2"/>
    </row>
    <row r="7" spans="1:12" ht="48" x14ac:dyDescent="0.3">
      <c r="A7" s="6"/>
      <c r="B7" s="5"/>
      <c r="C7" s="4"/>
      <c r="D7" s="15" t="s">
        <v>236</v>
      </c>
      <c r="E7" s="41"/>
      <c r="F7" s="41">
        <v>12</v>
      </c>
      <c r="G7" s="13" t="s">
        <v>115</v>
      </c>
      <c r="H7" s="46">
        <f>10798/F7</f>
        <v>899.83333333333337</v>
      </c>
      <c r="I7" s="54">
        <f>F7*H7</f>
        <v>10798</v>
      </c>
      <c r="J7" s="13" t="s">
        <v>123</v>
      </c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161</v>
      </c>
      <c r="E8" s="41" t="s">
        <v>143</v>
      </c>
      <c r="F8" s="41" t="s">
        <v>143</v>
      </c>
      <c r="G8" s="13" t="s">
        <v>30</v>
      </c>
      <c r="H8" s="41" t="s">
        <v>143</v>
      </c>
      <c r="I8" s="46" t="s">
        <v>143</v>
      </c>
      <c r="J8" s="13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39</v>
      </c>
      <c r="E9" s="41" t="s">
        <v>143</v>
      </c>
      <c r="F9" s="41" t="s">
        <v>143</v>
      </c>
      <c r="G9" s="13" t="s">
        <v>30</v>
      </c>
      <c r="H9" s="41" t="s">
        <v>143</v>
      </c>
      <c r="I9" s="46" t="s">
        <v>143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38</v>
      </c>
      <c r="E10" s="41" t="s">
        <v>143</v>
      </c>
      <c r="F10" s="41" t="s">
        <v>143</v>
      </c>
      <c r="G10" s="13" t="s">
        <v>30</v>
      </c>
      <c r="H10" s="41" t="s">
        <v>143</v>
      </c>
      <c r="I10" s="46" t="s">
        <v>143</v>
      </c>
      <c r="J10" s="13"/>
      <c r="K10" s="2"/>
      <c r="L10" s="2"/>
    </row>
    <row r="11" spans="1:12" ht="18.75" x14ac:dyDescent="0.3">
      <c r="A11" s="7"/>
      <c r="B11" s="5"/>
      <c r="C11" s="4"/>
      <c r="D11" s="15" t="s">
        <v>216</v>
      </c>
      <c r="E11" s="41"/>
      <c r="F11" s="41"/>
      <c r="G11" s="13" t="s">
        <v>146</v>
      </c>
      <c r="H11" s="41"/>
      <c r="I11" s="46"/>
      <c r="J11" s="13"/>
      <c r="K11" s="2"/>
      <c r="L11" s="2"/>
    </row>
    <row r="12" spans="1:12" ht="32.25" x14ac:dyDescent="0.3">
      <c r="A12" s="6" t="s">
        <v>4</v>
      </c>
      <c r="B12" s="5"/>
      <c r="C12" s="4"/>
      <c r="D12" s="15" t="s">
        <v>37</v>
      </c>
      <c r="E12" s="41" t="s">
        <v>143</v>
      </c>
      <c r="F12" s="41" t="s">
        <v>143</v>
      </c>
      <c r="G12" s="13" t="s">
        <v>30</v>
      </c>
      <c r="H12" s="41" t="s">
        <v>143</v>
      </c>
      <c r="I12" s="46" t="s">
        <v>143</v>
      </c>
      <c r="J12" s="13"/>
      <c r="K12" s="2"/>
      <c r="L12" s="2"/>
    </row>
    <row r="13" spans="1:12" ht="18.75" x14ac:dyDescent="0.3">
      <c r="A13" s="6" t="s">
        <v>5</v>
      </c>
      <c r="B13" s="5"/>
      <c r="C13" s="4"/>
      <c r="D13" s="4" t="s">
        <v>88</v>
      </c>
      <c r="E13" s="41" t="s">
        <v>143</v>
      </c>
      <c r="F13" s="41" t="s">
        <v>143</v>
      </c>
      <c r="G13" s="13" t="s">
        <v>31</v>
      </c>
      <c r="H13" s="41" t="s">
        <v>143</v>
      </c>
      <c r="I13" s="46" t="s">
        <v>143</v>
      </c>
      <c r="J13" s="13"/>
      <c r="K13" s="2"/>
      <c r="L13" s="2"/>
    </row>
    <row r="14" spans="1:12" ht="37.5" x14ac:dyDescent="0.3">
      <c r="A14" s="6" t="s">
        <v>6</v>
      </c>
      <c r="B14" s="5"/>
      <c r="C14" s="4"/>
      <c r="D14" s="4" t="s">
        <v>36</v>
      </c>
      <c r="E14" s="41" t="s">
        <v>143</v>
      </c>
      <c r="F14" s="41" t="s">
        <v>143</v>
      </c>
      <c r="G14" s="14" t="s">
        <v>31</v>
      </c>
      <c r="H14" s="41" t="s">
        <v>143</v>
      </c>
      <c r="I14" s="46" t="s">
        <v>143</v>
      </c>
      <c r="J14" s="13"/>
      <c r="K14" s="2"/>
      <c r="L14" s="2"/>
    </row>
    <row r="15" spans="1:12" ht="32.25" x14ac:dyDescent="0.3">
      <c r="A15" s="6" t="s">
        <v>64</v>
      </c>
      <c r="B15" s="5"/>
      <c r="C15" s="4"/>
      <c r="D15" s="15" t="s">
        <v>53</v>
      </c>
      <c r="E15" s="41" t="s">
        <v>143</v>
      </c>
      <c r="F15" s="41" t="s">
        <v>143</v>
      </c>
      <c r="G15" s="13" t="s">
        <v>30</v>
      </c>
      <c r="H15" s="41" t="s">
        <v>143</v>
      </c>
      <c r="I15" s="46" t="s">
        <v>143</v>
      </c>
      <c r="J15" s="13"/>
      <c r="L15" s="2"/>
    </row>
    <row r="16" spans="1:12" ht="27" customHeight="1" x14ac:dyDescent="0.3">
      <c r="A16" s="6" t="s">
        <v>7</v>
      </c>
      <c r="B16" s="5"/>
      <c r="C16" s="4"/>
      <c r="D16" s="15" t="s">
        <v>34</v>
      </c>
      <c r="E16" s="41" t="s">
        <v>143</v>
      </c>
      <c r="F16" s="41" t="s">
        <v>143</v>
      </c>
      <c r="G16" s="13" t="s">
        <v>30</v>
      </c>
      <c r="H16" s="41" t="s">
        <v>143</v>
      </c>
      <c r="I16" s="46" t="s">
        <v>143</v>
      </c>
      <c r="J16" s="13"/>
      <c r="K16" s="2"/>
      <c r="L16" s="2"/>
    </row>
    <row r="17" spans="1:12" ht="27" customHeight="1" x14ac:dyDescent="0.3">
      <c r="A17" s="28"/>
      <c r="B17" s="22"/>
      <c r="C17" s="22"/>
      <c r="D17" s="30"/>
      <c r="E17" s="47"/>
      <c r="F17" s="47"/>
      <c r="G17" s="31"/>
      <c r="H17" s="41"/>
      <c r="I17" s="46">
        <f>SUM(I5:I16)</f>
        <v>414448</v>
      </c>
      <c r="J17" s="13"/>
      <c r="K17" s="2"/>
      <c r="L17" s="2"/>
    </row>
    <row r="18" spans="1:12" ht="18.75" x14ac:dyDescent="0.3">
      <c r="A18" s="71" t="s">
        <v>57</v>
      </c>
      <c r="B18" s="72"/>
      <c r="C18" s="72"/>
      <c r="D18" s="72"/>
      <c r="E18" s="72"/>
      <c r="F18" s="72"/>
      <c r="G18" s="73"/>
      <c r="H18" s="14"/>
      <c r="I18" s="5"/>
      <c r="J18" s="13"/>
      <c r="L18" s="2"/>
    </row>
    <row r="19" spans="1:12" ht="18.75" x14ac:dyDescent="0.3">
      <c r="A19" s="6" t="s">
        <v>19</v>
      </c>
      <c r="B19" s="5"/>
      <c r="C19" s="4"/>
      <c r="D19" s="4" t="s">
        <v>97</v>
      </c>
      <c r="E19" s="41" t="s">
        <v>143</v>
      </c>
      <c r="F19" s="41">
        <f>1</f>
        <v>1</v>
      </c>
      <c r="G19" s="14" t="s">
        <v>55</v>
      </c>
      <c r="H19" s="41">
        <f>7821.2/F19</f>
        <v>7821.2</v>
      </c>
      <c r="I19" s="53">
        <f>F19*H19</f>
        <v>7821.2</v>
      </c>
      <c r="J19" s="13" t="s">
        <v>125</v>
      </c>
      <c r="L19" s="2"/>
    </row>
    <row r="20" spans="1:12" ht="18.75" x14ac:dyDescent="0.3">
      <c r="A20" s="6" t="s">
        <v>13</v>
      </c>
      <c r="B20" s="5"/>
      <c r="C20" s="4"/>
      <c r="D20" s="4" t="s">
        <v>42</v>
      </c>
      <c r="E20" s="41" t="s">
        <v>143</v>
      </c>
      <c r="F20" s="41" t="s">
        <v>143</v>
      </c>
      <c r="G20" s="14" t="s">
        <v>54</v>
      </c>
      <c r="H20" s="41" t="s">
        <v>143</v>
      </c>
      <c r="I20" s="41" t="s">
        <v>143</v>
      </c>
      <c r="J20" s="13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1"/>
      <c r="F21" s="41">
        <v>75</v>
      </c>
      <c r="G21" s="14" t="s">
        <v>54</v>
      </c>
      <c r="H21" s="46">
        <f>24552.2/F21</f>
        <v>327.36266666666666</v>
      </c>
      <c r="I21" s="53">
        <f>F21*H21</f>
        <v>24552.2</v>
      </c>
      <c r="J21" s="13" t="s">
        <v>120</v>
      </c>
      <c r="K21" s="2"/>
      <c r="L21" s="2"/>
    </row>
    <row r="22" spans="1:12" ht="32.25" x14ac:dyDescent="0.3">
      <c r="A22" s="6"/>
      <c r="B22" s="5"/>
      <c r="C22" s="4"/>
      <c r="D22" s="15" t="s">
        <v>173</v>
      </c>
      <c r="E22" s="41"/>
      <c r="F22" s="41">
        <f>8</f>
        <v>8</v>
      </c>
      <c r="G22" s="14" t="s">
        <v>91</v>
      </c>
      <c r="H22" s="41">
        <f>15265.2/F22</f>
        <v>1908.15</v>
      </c>
      <c r="I22" s="53">
        <f>F22*H22</f>
        <v>15265.2</v>
      </c>
      <c r="J22" s="13" t="s">
        <v>120</v>
      </c>
      <c r="K22" s="2"/>
      <c r="L22" s="2"/>
    </row>
    <row r="23" spans="1:12" ht="18.75" x14ac:dyDescent="0.3">
      <c r="A23" s="6" t="s">
        <v>10</v>
      </c>
      <c r="B23" s="5"/>
      <c r="C23" s="4"/>
      <c r="D23" s="4" t="s">
        <v>33</v>
      </c>
      <c r="E23" s="41" t="s">
        <v>143</v>
      </c>
      <c r="F23" s="41" t="s">
        <v>143</v>
      </c>
      <c r="G23" s="14" t="s">
        <v>54</v>
      </c>
      <c r="H23" s="41" t="s">
        <v>143</v>
      </c>
      <c r="I23" s="41" t="s">
        <v>143</v>
      </c>
      <c r="J23" s="13"/>
      <c r="K23" s="2"/>
      <c r="L23" s="2"/>
    </row>
    <row r="24" spans="1:12" ht="18.75" x14ac:dyDescent="0.3">
      <c r="A24" s="6" t="s">
        <v>11</v>
      </c>
      <c r="B24" s="5"/>
      <c r="C24" s="4"/>
      <c r="D24" s="4" t="s">
        <v>40</v>
      </c>
      <c r="E24" s="41" t="s">
        <v>143</v>
      </c>
      <c r="F24" s="41" t="s">
        <v>143</v>
      </c>
      <c r="G24" s="14" t="s">
        <v>54</v>
      </c>
      <c r="H24" s="41" t="s">
        <v>143</v>
      </c>
      <c r="I24" s="41" t="s">
        <v>143</v>
      </c>
      <c r="J24" s="13"/>
      <c r="K24" s="2"/>
      <c r="L24" s="2"/>
    </row>
    <row r="25" spans="1:12" ht="18.75" x14ac:dyDescent="0.3">
      <c r="A25" s="6"/>
      <c r="B25" s="5"/>
      <c r="C25" s="4"/>
      <c r="D25" s="4" t="s">
        <v>150</v>
      </c>
      <c r="E25" s="41" t="s">
        <v>143</v>
      </c>
      <c r="F25" s="41" t="s">
        <v>143</v>
      </c>
      <c r="G25" s="14" t="s">
        <v>151</v>
      </c>
      <c r="H25" s="41" t="s">
        <v>143</v>
      </c>
      <c r="I25" s="41" t="s">
        <v>143</v>
      </c>
      <c r="J25" s="13"/>
      <c r="K25" s="2"/>
      <c r="L25" s="2"/>
    </row>
    <row r="26" spans="1:12" ht="18.75" x14ac:dyDescent="0.3">
      <c r="A26" s="6" t="s">
        <v>8</v>
      </c>
      <c r="B26" s="5"/>
      <c r="C26" s="4"/>
      <c r="D26" s="4" t="s">
        <v>32</v>
      </c>
      <c r="E26" s="41" t="s">
        <v>143</v>
      </c>
      <c r="F26" s="41" t="s">
        <v>143</v>
      </c>
      <c r="G26" s="13" t="s">
        <v>30</v>
      </c>
      <c r="H26" s="41" t="s">
        <v>143</v>
      </c>
      <c r="I26" s="41" t="s">
        <v>143</v>
      </c>
      <c r="J26" s="13"/>
      <c r="K26" s="2"/>
      <c r="L26" s="2"/>
    </row>
    <row r="27" spans="1:12" ht="24.75" customHeight="1" x14ac:dyDescent="0.3">
      <c r="A27" s="6" t="s">
        <v>12</v>
      </c>
      <c r="B27" s="5"/>
      <c r="C27" s="4"/>
      <c r="D27" s="15" t="s">
        <v>41</v>
      </c>
      <c r="E27" s="41" t="s">
        <v>143</v>
      </c>
      <c r="F27" s="41" t="s">
        <v>143</v>
      </c>
      <c r="G27" s="14" t="s">
        <v>54</v>
      </c>
      <c r="H27" s="41" t="s">
        <v>143</v>
      </c>
      <c r="I27" s="41" t="s">
        <v>143</v>
      </c>
      <c r="J27" s="13"/>
      <c r="K27" s="2"/>
      <c r="L27" s="2"/>
    </row>
    <row r="28" spans="1:12" ht="24.75" customHeight="1" x14ac:dyDescent="0.3">
      <c r="A28" s="6"/>
      <c r="B28" s="5"/>
      <c r="C28" s="4"/>
      <c r="D28" s="15" t="s">
        <v>217</v>
      </c>
      <c r="E28" s="41"/>
      <c r="F28" s="41"/>
      <c r="G28" s="14" t="s">
        <v>31</v>
      </c>
      <c r="H28" s="41"/>
      <c r="I28" s="41"/>
      <c r="J28" s="13"/>
      <c r="K28" s="2"/>
      <c r="L28" s="2"/>
    </row>
    <row r="29" spans="1:12" ht="18.75" x14ac:dyDescent="0.3">
      <c r="A29" s="6" t="s">
        <v>56</v>
      </c>
      <c r="B29" s="5"/>
      <c r="C29" s="4"/>
      <c r="D29" s="15" t="s">
        <v>197</v>
      </c>
      <c r="E29" s="41" t="s">
        <v>143</v>
      </c>
      <c r="F29" s="41" t="s">
        <v>143</v>
      </c>
      <c r="G29" s="14" t="s">
        <v>30</v>
      </c>
      <c r="H29" s="41" t="s">
        <v>143</v>
      </c>
      <c r="I29" s="41" t="s">
        <v>143</v>
      </c>
      <c r="J29" s="13"/>
      <c r="L29" s="2"/>
    </row>
    <row r="30" spans="1:12" ht="32.25" x14ac:dyDescent="0.3">
      <c r="A30" s="6"/>
      <c r="B30" s="5"/>
      <c r="C30" s="4"/>
      <c r="D30" s="15" t="s">
        <v>238</v>
      </c>
      <c r="E30" s="41" t="s">
        <v>143</v>
      </c>
      <c r="F30" s="41">
        <v>1</v>
      </c>
      <c r="G30" s="14" t="s">
        <v>146</v>
      </c>
      <c r="H30" s="41">
        <f>10000</f>
        <v>10000</v>
      </c>
      <c r="I30" s="53">
        <f>F30*H30</f>
        <v>10000</v>
      </c>
      <c r="J30" s="13" t="s">
        <v>123</v>
      </c>
      <c r="L30" s="2"/>
    </row>
    <row r="31" spans="1:12" ht="32.25" x14ac:dyDescent="0.3">
      <c r="A31" s="6" t="s">
        <v>58</v>
      </c>
      <c r="B31" s="5"/>
      <c r="C31" s="4"/>
      <c r="D31" s="15" t="s">
        <v>96</v>
      </c>
      <c r="E31" s="41" t="s">
        <v>143</v>
      </c>
      <c r="F31" s="41" t="s">
        <v>143</v>
      </c>
      <c r="G31" s="14" t="s">
        <v>54</v>
      </c>
      <c r="H31" s="41" t="s">
        <v>143</v>
      </c>
      <c r="I31" s="41" t="s">
        <v>143</v>
      </c>
      <c r="J31" s="13"/>
      <c r="L31" s="2"/>
    </row>
    <row r="32" spans="1:12" ht="32.25" x14ac:dyDescent="0.3">
      <c r="A32" s="6" t="s">
        <v>14</v>
      </c>
      <c r="B32" s="5"/>
      <c r="C32" s="4"/>
      <c r="D32" s="15" t="s">
        <v>95</v>
      </c>
      <c r="E32" s="41" t="s">
        <v>143</v>
      </c>
      <c r="F32" s="41" t="s">
        <v>143</v>
      </c>
      <c r="G32" s="14" t="s">
        <v>55</v>
      </c>
      <c r="H32" s="41" t="s">
        <v>143</v>
      </c>
      <c r="I32" s="41" t="s">
        <v>143</v>
      </c>
      <c r="J32" s="13"/>
      <c r="L32" s="2"/>
    </row>
    <row r="33" spans="1:12" ht="18.75" x14ac:dyDescent="0.3">
      <c r="A33" s="6" t="s">
        <v>15</v>
      </c>
      <c r="B33" s="5"/>
      <c r="C33" s="4"/>
      <c r="D33" s="4" t="s">
        <v>43</v>
      </c>
      <c r="E33" s="41" t="s">
        <v>143</v>
      </c>
      <c r="F33" s="41" t="s">
        <v>143</v>
      </c>
      <c r="G33" s="14" t="s">
        <v>55</v>
      </c>
      <c r="H33" s="41" t="s">
        <v>143</v>
      </c>
      <c r="I33" s="41" t="s">
        <v>143</v>
      </c>
      <c r="J33" s="13"/>
      <c r="L33" s="2"/>
    </row>
    <row r="34" spans="1:12" ht="18.75" x14ac:dyDescent="0.3">
      <c r="A34" s="6" t="s">
        <v>16</v>
      </c>
      <c r="B34" s="5"/>
      <c r="C34" s="4"/>
      <c r="D34" s="4" t="s">
        <v>44</v>
      </c>
      <c r="E34" s="41" t="s">
        <v>143</v>
      </c>
      <c r="F34" s="41" t="s">
        <v>143</v>
      </c>
      <c r="G34" s="14" t="s">
        <v>54</v>
      </c>
      <c r="H34" s="41" t="s">
        <v>143</v>
      </c>
      <c r="I34" s="41" t="s">
        <v>143</v>
      </c>
      <c r="J34" s="13"/>
      <c r="L34" s="2"/>
    </row>
    <row r="35" spans="1:12" ht="18.75" x14ac:dyDescent="0.3">
      <c r="A35" s="6" t="s">
        <v>17</v>
      </c>
      <c r="B35" s="5"/>
      <c r="C35" s="4"/>
      <c r="D35" s="4" t="s">
        <v>45</v>
      </c>
      <c r="E35" s="41" t="s">
        <v>143</v>
      </c>
      <c r="F35" s="41" t="s">
        <v>143</v>
      </c>
      <c r="G35" s="13" t="s">
        <v>30</v>
      </c>
      <c r="H35" s="41" t="s">
        <v>143</v>
      </c>
      <c r="I35" s="41" t="s">
        <v>143</v>
      </c>
      <c r="J35" s="13"/>
      <c r="L35" s="2"/>
    </row>
    <row r="36" spans="1:12" ht="18.75" x14ac:dyDescent="0.3">
      <c r="A36" s="6" t="s">
        <v>18</v>
      </c>
      <c r="B36" s="5"/>
      <c r="C36" s="4"/>
      <c r="D36" s="4" t="s">
        <v>46</v>
      </c>
      <c r="E36" s="41" t="s">
        <v>143</v>
      </c>
      <c r="F36" s="41" t="s">
        <v>143</v>
      </c>
      <c r="G36" s="14" t="s">
        <v>55</v>
      </c>
      <c r="H36" s="41" t="s">
        <v>143</v>
      </c>
      <c r="I36" s="41" t="s">
        <v>143</v>
      </c>
      <c r="J36" s="13"/>
      <c r="L36" s="2"/>
    </row>
    <row r="37" spans="1:12" ht="18.75" x14ac:dyDescent="0.3">
      <c r="A37" s="28"/>
      <c r="B37" s="22"/>
      <c r="C37" s="22"/>
      <c r="D37" s="22"/>
      <c r="E37" s="47"/>
      <c r="F37" s="47"/>
      <c r="G37" s="12"/>
      <c r="H37" s="41"/>
      <c r="I37" s="41">
        <f>SUM(I19:I36)</f>
        <v>57638.600000000006</v>
      </c>
      <c r="J37" s="13"/>
      <c r="L37" s="2"/>
    </row>
    <row r="38" spans="1:12" ht="24" customHeight="1" x14ac:dyDescent="0.3">
      <c r="A38" s="71" t="s">
        <v>87</v>
      </c>
      <c r="B38" s="72"/>
      <c r="C38" s="72"/>
      <c r="D38" s="72"/>
      <c r="E38" s="72"/>
      <c r="F38" s="72"/>
      <c r="G38" s="73"/>
      <c r="H38" s="14"/>
      <c r="I38" s="5"/>
      <c r="J38" s="13"/>
      <c r="L38" s="2"/>
    </row>
    <row r="39" spans="1:12" ht="32.25" customHeight="1" x14ac:dyDescent="0.3">
      <c r="A39" s="6" t="s">
        <v>50</v>
      </c>
      <c r="B39" s="5"/>
      <c r="C39" s="4"/>
      <c r="D39" s="15" t="s">
        <v>224</v>
      </c>
      <c r="E39" s="41" t="s">
        <v>143</v>
      </c>
      <c r="F39" s="41">
        <f>1</f>
        <v>1</v>
      </c>
      <c r="G39" s="38" t="s">
        <v>31</v>
      </c>
      <c r="H39" s="41">
        <f>348.4/F39</f>
        <v>348.4</v>
      </c>
      <c r="I39" s="53">
        <f>F39*H39</f>
        <v>348.4</v>
      </c>
      <c r="J39" s="13" t="s">
        <v>120</v>
      </c>
      <c r="L39" s="2"/>
    </row>
    <row r="40" spans="1:12" ht="32.25" customHeight="1" x14ac:dyDescent="0.3">
      <c r="A40" s="6"/>
      <c r="B40" s="5"/>
      <c r="C40" s="4"/>
      <c r="D40" s="15" t="s">
        <v>225</v>
      </c>
      <c r="E40" s="41"/>
      <c r="F40" s="41">
        <f>5.8</f>
        <v>5.8</v>
      </c>
      <c r="G40" s="38" t="s">
        <v>115</v>
      </c>
      <c r="H40" s="46">
        <f>1311/F40</f>
        <v>226.0344827586207</v>
      </c>
      <c r="I40" s="53">
        <f>F40*H40</f>
        <v>1311</v>
      </c>
      <c r="J40" s="13" t="s">
        <v>120</v>
      </c>
      <c r="L40" s="2"/>
    </row>
    <row r="41" spans="1:12" ht="32.25" customHeight="1" x14ac:dyDescent="0.3">
      <c r="A41" s="6"/>
      <c r="B41" s="5"/>
      <c r="C41" s="4"/>
      <c r="D41" s="15" t="s">
        <v>147</v>
      </c>
      <c r="E41" s="41" t="s">
        <v>143</v>
      </c>
      <c r="F41" s="41" t="s">
        <v>143</v>
      </c>
      <c r="G41" s="13" t="s">
        <v>148</v>
      </c>
      <c r="H41" s="41" t="s">
        <v>143</v>
      </c>
      <c r="I41" s="41" t="s">
        <v>143</v>
      </c>
      <c r="J41" s="13"/>
      <c r="L41" s="2"/>
    </row>
    <row r="42" spans="1:12" ht="32.25" customHeight="1" x14ac:dyDescent="0.3">
      <c r="A42" s="6"/>
      <c r="B42" s="5"/>
      <c r="C42" s="4"/>
      <c r="D42" s="15" t="s">
        <v>149</v>
      </c>
      <c r="E42" s="41" t="s">
        <v>143</v>
      </c>
      <c r="F42" s="41" t="s">
        <v>143</v>
      </c>
      <c r="G42" s="13" t="s">
        <v>31</v>
      </c>
      <c r="H42" s="41" t="s">
        <v>143</v>
      </c>
      <c r="I42" s="41" t="s">
        <v>143</v>
      </c>
      <c r="J42" s="13"/>
      <c r="L42" s="2"/>
    </row>
    <row r="43" spans="1:12" ht="32.25" customHeight="1" x14ac:dyDescent="0.3">
      <c r="A43" s="6"/>
      <c r="B43" s="5"/>
      <c r="C43" s="4"/>
      <c r="D43" s="15" t="s">
        <v>214</v>
      </c>
      <c r="E43" s="41"/>
      <c r="F43" s="41"/>
      <c r="G43" s="13" t="s">
        <v>31</v>
      </c>
      <c r="H43" s="41"/>
      <c r="I43" s="41"/>
      <c r="J43" s="13"/>
      <c r="L43" s="2"/>
    </row>
    <row r="44" spans="1:12" ht="32.25" customHeight="1" x14ac:dyDescent="0.3">
      <c r="A44" s="6"/>
      <c r="B44" s="5"/>
      <c r="C44" s="4"/>
      <c r="D44" s="15" t="s">
        <v>164</v>
      </c>
      <c r="E44" s="41"/>
      <c r="F44" s="41"/>
      <c r="G44" s="13" t="s">
        <v>31</v>
      </c>
      <c r="H44" s="41"/>
      <c r="I44" s="41"/>
      <c r="J44" s="13"/>
      <c r="L44" s="2"/>
    </row>
    <row r="45" spans="1:12" ht="32.25" customHeight="1" x14ac:dyDescent="0.3">
      <c r="A45" s="6"/>
      <c r="B45" s="5"/>
      <c r="C45" s="4"/>
      <c r="D45" s="15" t="s">
        <v>215</v>
      </c>
      <c r="E45" s="41"/>
      <c r="F45" s="41">
        <f>13</f>
        <v>13</v>
      </c>
      <c r="G45" s="13" t="s">
        <v>152</v>
      </c>
      <c r="H45" s="46">
        <f>3424.6/F45</f>
        <v>263.43076923076922</v>
      </c>
      <c r="I45" s="53">
        <f>F45*H45</f>
        <v>3424.6</v>
      </c>
      <c r="J45" s="13" t="s">
        <v>123</v>
      </c>
      <c r="L45" s="2"/>
    </row>
    <row r="46" spans="1:12" ht="32.25" x14ac:dyDescent="0.3">
      <c r="A46" s="6" t="s">
        <v>51</v>
      </c>
      <c r="B46" s="5"/>
      <c r="C46" s="4"/>
      <c r="D46" s="15" t="s">
        <v>101</v>
      </c>
      <c r="E46" s="41" t="s">
        <v>143</v>
      </c>
      <c r="F46" s="41">
        <f>0.35</f>
        <v>0.35</v>
      </c>
      <c r="G46" s="13" t="s">
        <v>115</v>
      </c>
      <c r="H46" s="46">
        <f>880.2/F46</f>
        <v>2514.8571428571431</v>
      </c>
      <c r="I46" s="53">
        <f>F46*H46</f>
        <v>880.2</v>
      </c>
      <c r="J46" s="13" t="s">
        <v>154</v>
      </c>
      <c r="L46" s="2"/>
    </row>
    <row r="47" spans="1:12" ht="32.25" x14ac:dyDescent="0.3">
      <c r="A47" s="6" t="s">
        <v>60</v>
      </c>
      <c r="B47" s="8"/>
      <c r="C47" s="4"/>
      <c r="D47" s="15" t="s">
        <v>47</v>
      </c>
      <c r="E47" s="41" t="s">
        <v>143</v>
      </c>
      <c r="F47" s="41" t="s">
        <v>143</v>
      </c>
      <c r="G47" s="14" t="s">
        <v>54</v>
      </c>
      <c r="H47" s="41" t="s">
        <v>143</v>
      </c>
      <c r="I47" s="41" t="s">
        <v>143</v>
      </c>
      <c r="J47" s="13"/>
      <c r="L47" s="2"/>
    </row>
    <row r="48" spans="1:12" ht="18.75" x14ac:dyDescent="0.3">
      <c r="A48" s="6" t="s">
        <v>62</v>
      </c>
      <c r="B48" s="5"/>
      <c r="C48" s="4"/>
      <c r="D48" s="15" t="s">
        <v>52</v>
      </c>
      <c r="E48" s="41" t="s">
        <v>143</v>
      </c>
      <c r="F48" s="41" t="s">
        <v>143</v>
      </c>
      <c r="G48" s="14" t="s">
        <v>54</v>
      </c>
      <c r="H48" s="41" t="s">
        <v>143</v>
      </c>
      <c r="I48" s="41" t="s">
        <v>143</v>
      </c>
      <c r="J48" s="13"/>
      <c r="L48" s="2"/>
    </row>
    <row r="49" spans="1:12" ht="32.25" x14ac:dyDescent="0.3">
      <c r="A49" s="6" t="s">
        <v>63</v>
      </c>
      <c r="B49" s="5"/>
      <c r="C49" s="4"/>
      <c r="D49" s="15" t="s">
        <v>65</v>
      </c>
      <c r="E49" s="41" t="s">
        <v>143</v>
      </c>
      <c r="F49" s="41" t="s">
        <v>143</v>
      </c>
      <c r="G49" s="13" t="s">
        <v>30</v>
      </c>
      <c r="H49" s="41" t="s">
        <v>143</v>
      </c>
      <c r="I49" s="41" t="s">
        <v>143</v>
      </c>
      <c r="J49" s="13"/>
      <c r="L49" s="2"/>
    </row>
    <row r="50" spans="1:12" ht="18.75" x14ac:dyDescent="0.3">
      <c r="A50" s="6"/>
      <c r="B50" s="5"/>
      <c r="C50" s="4"/>
      <c r="D50" s="15" t="s">
        <v>165</v>
      </c>
      <c r="E50" s="41" t="s">
        <v>143</v>
      </c>
      <c r="F50" s="41" t="s">
        <v>143</v>
      </c>
      <c r="G50" s="13" t="s">
        <v>31</v>
      </c>
      <c r="H50" s="41" t="s">
        <v>143</v>
      </c>
      <c r="I50" s="41" t="s">
        <v>143</v>
      </c>
      <c r="J50" s="13"/>
      <c r="L50" s="2"/>
    </row>
    <row r="51" spans="1:12" ht="18.75" x14ac:dyDescent="0.3">
      <c r="A51" s="6" t="s">
        <v>59</v>
      </c>
      <c r="B51" s="8"/>
      <c r="C51" s="4"/>
      <c r="D51" s="4" t="s">
        <v>48</v>
      </c>
      <c r="E51" s="41" t="s">
        <v>143</v>
      </c>
      <c r="F51" s="41" t="s">
        <v>143</v>
      </c>
      <c r="G51" s="14" t="s">
        <v>54</v>
      </c>
      <c r="H51" s="41" t="s">
        <v>143</v>
      </c>
      <c r="I51" s="41" t="s">
        <v>143</v>
      </c>
      <c r="J51" s="13"/>
      <c r="L51" s="2"/>
    </row>
    <row r="52" spans="1:12" ht="18.75" x14ac:dyDescent="0.3">
      <c r="A52" s="6"/>
      <c r="B52" s="8"/>
      <c r="C52" s="4"/>
      <c r="D52" s="4" t="s">
        <v>227</v>
      </c>
      <c r="E52" s="41"/>
      <c r="F52" s="41">
        <f>9</f>
        <v>9</v>
      </c>
      <c r="G52" s="14" t="s">
        <v>31</v>
      </c>
      <c r="H52" s="46">
        <f>1856/F52</f>
        <v>206.22222222222223</v>
      </c>
      <c r="I52" s="53">
        <f>F52*H52</f>
        <v>1856</v>
      </c>
      <c r="J52" s="13" t="s">
        <v>125</v>
      </c>
      <c r="L52" s="2"/>
    </row>
    <row r="53" spans="1:12" ht="18.75" x14ac:dyDescent="0.3">
      <c r="A53" s="6"/>
      <c r="B53" s="8"/>
      <c r="C53" s="4"/>
      <c r="D53" s="4" t="s">
        <v>228</v>
      </c>
      <c r="E53" s="41"/>
      <c r="F53" s="41">
        <v>3</v>
      </c>
      <c r="G53" s="14" t="s">
        <v>31</v>
      </c>
      <c r="H53" s="46">
        <f>335/F53</f>
        <v>111.66666666666667</v>
      </c>
      <c r="I53" s="53">
        <f>F53*H53</f>
        <v>335</v>
      </c>
      <c r="J53" s="13" t="s">
        <v>125</v>
      </c>
      <c r="L53" s="2"/>
    </row>
    <row r="54" spans="1:12" ht="24" customHeight="1" x14ac:dyDescent="0.3">
      <c r="A54" s="6" t="s">
        <v>61</v>
      </c>
      <c r="B54" s="8"/>
      <c r="C54" s="4"/>
      <c r="D54" s="4" t="s">
        <v>49</v>
      </c>
      <c r="E54" s="41" t="s">
        <v>143</v>
      </c>
      <c r="F54" s="41" t="s">
        <v>143</v>
      </c>
      <c r="G54" s="14" t="s">
        <v>54</v>
      </c>
      <c r="H54" s="41" t="s">
        <v>143</v>
      </c>
      <c r="I54" s="41" t="s">
        <v>143</v>
      </c>
      <c r="J54" s="13"/>
      <c r="L54" s="2"/>
    </row>
    <row r="55" spans="1:12" ht="18.75" x14ac:dyDescent="0.3">
      <c r="A55" s="6" t="s">
        <v>66</v>
      </c>
      <c r="B55" s="5"/>
      <c r="C55" s="4"/>
      <c r="D55" s="4" t="s">
        <v>94</v>
      </c>
      <c r="E55" s="41" t="s">
        <v>143</v>
      </c>
      <c r="F55" s="41" t="s">
        <v>143</v>
      </c>
      <c r="G55" s="14" t="s">
        <v>55</v>
      </c>
      <c r="H55" s="41" t="s">
        <v>143</v>
      </c>
      <c r="I55" s="41" t="s">
        <v>143</v>
      </c>
      <c r="J55" s="13"/>
      <c r="L55" s="2"/>
    </row>
    <row r="56" spans="1:12" ht="18.75" x14ac:dyDescent="0.3">
      <c r="A56" s="28"/>
      <c r="B56" s="22"/>
      <c r="C56" s="22"/>
      <c r="D56" s="22"/>
      <c r="E56" s="47"/>
      <c r="F56" s="47"/>
      <c r="G56" s="12"/>
      <c r="H56" s="41"/>
      <c r="I56" s="41">
        <f>SUM(I39:I55)</f>
        <v>8155.2</v>
      </c>
      <c r="J56" s="13"/>
      <c r="L56" s="2"/>
    </row>
    <row r="57" spans="1:12" ht="18.75" x14ac:dyDescent="0.3">
      <c r="A57" s="71" t="s">
        <v>68</v>
      </c>
      <c r="B57" s="72"/>
      <c r="C57" s="72"/>
      <c r="D57" s="72"/>
      <c r="E57" s="72"/>
      <c r="F57" s="72"/>
      <c r="G57" s="73"/>
      <c r="H57" s="18"/>
      <c r="I57" s="5"/>
      <c r="J57" s="13"/>
      <c r="L57" s="2"/>
    </row>
    <row r="58" spans="1:12" ht="37.5" x14ac:dyDescent="0.25">
      <c r="A58" s="9" t="s">
        <v>29</v>
      </c>
      <c r="B58" s="8"/>
      <c r="C58" s="4"/>
      <c r="D58" s="15" t="s">
        <v>145</v>
      </c>
      <c r="E58" s="41" t="s">
        <v>143</v>
      </c>
      <c r="F58" s="41" t="s">
        <v>143</v>
      </c>
      <c r="G58" s="13" t="s">
        <v>55</v>
      </c>
      <c r="H58" s="41" t="s">
        <v>143</v>
      </c>
      <c r="I58" s="41" t="s">
        <v>143</v>
      </c>
      <c r="J58" s="13"/>
      <c r="L58" s="2"/>
    </row>
    <row r="59" spans="1:12" ht="18.75" x14ac:dyDescent="0.25">
      <c r="A59" s="9"/>
      <c r="B59" s="8"/>
      <c r="C59" s="4"/>
      <c r="D59" s="15" t="s">
        <v>201</v>
      </c>
      <c r="E59" s="41" t="s">
        <v>143</v>
      </c>
      <c r="F59" s="41" t="s">
        <v>143</v>
      </c>
      <c r="G59" s="13" t="s">
        <v>202</v>
      </c>
      <c r="H59" s="41" t="s">
        <v>143</v>
      </c>
      <c r="I59" s="41" t="s">
        <v>143</v>
      </c>
      <c r="J59" s="13"/>
      <c r="L59" s="2"/>
    </row>
    <row r="60" spans="1:12" ht="46.5" customHeight="1" x14ac:dyDescent="0.25">
      <c r="A60" s="9" t="s">
        <v>93</v>
      </c>
      <c r="B60" s="8"/>
      <c r="C60" s="4"/>
      <c r="D60" s="42" t="s">
        <v>128</v>
      </c>
      <c r="E60" s="32"/>
      <c r="F60" s="13">
        <f>1939.1</f>
        <v>1939.1</v>
      </c>
      <c r="G60" s="13" t="s">
        <v>115</v>
      </c>
      <c r="H60" s="33">
        <f>(8166.2+8166.2+8166.2+8351+8351+8351+8572.6+8572.6+8572.6+8843+8843+8843)/F60</f>
        <v>52.497756691248526</v>
      </c>
      <c r="I60" s="33">
        <f t="shared" ref="I60:I61" si="0">F60*H60</f>
        <v>101798.40000000001</v>
      </c>
      <c r="J60" s="13" t="s">
        <v>118</v>
      </c>
      <c r="L60" s="2"/>
    </row>
    <row r="61" spans="1:12" ht="46.5" customHeight="1" x14ac:dyDescent="0.25">
      <c r="A61" s="9"/>
      <c r="B61" s="8"/>
      <c r="C61" s="4"/>
      <c r="D61" s="15" t="s">
        <v>113</v>
      </c>
      <c r="E61" s="32"/>
      <c r="F61" s="13">
        <f>1829</f>
        <v>1829</v>
      </c>
      <c r="G61" s="13" t="s">
        <v>30</v>
      </c>
      <c r="H61" s="33">
        <f>152785/F61</f>
        <v>83.53471842536905</v>
      </c>
      <c r="I61" s="33">
        <f t="shared" si="0"/>
        <v>152785</v>
      </c>
      <c r="J61" s="13" t="s">
        <v>120</v>
      </c>
      <c r="L61" s="2"/>
    </row>
    <row r="62" spans="1:12" ht="46.5" customHeight="1" x14ac:dyDescent="0.25">
      <c r="A62" s="9"/>
      <c r="B62" s="8"/>
      <c r="C62" s="4"/>
      <c r="D62" s="15" t="s">
        <v>114</v>
      </c>
      <c r="E62" s="41"/>
      <c r="F62" s="41">
        <f>44</f>
        <v>44</v>
      </c>
      <c r="G62" s="13" t="s">
        <v>30</v>
      </c>
      <c r="H62" s="46">
        <f>3719/F62</f>
        <v>84.522727272727266</v>
      </c>
      <c r="I62" s="41">
        <f>F62*H62</f>
        <v>3718.9999999999995</v>
      </c>
      <c r="J62" s="13" t="s">
        <v>120</v>
      </c>
      <c r="L62" s="2"/>
    </row>
    <row r="63" spans="1:12" ht="46.5" customHeight="1" x14ac:dyDescent="0.25">
      <c r="A63" s="9"/>
      <c r="B63" s="8"/>
      <c r="C63" s="4"/>
      <c r="D63" s="15" t="s">
        <v>235</v>
      </c>
      <c r="E63" s="41" t="s">
        <v>143</v>
      </c>
      <c r="F63" s="41">
        <f>4</f>
        <v>4</v>
      </c>
      <c r="G63" s="13" t="s">
        <v>31</v>
      </c>
      <c r="H63" s="41">
        <f>5455.4/F63</f>
        <v>1363.85</v>
      </c>
      <c r="I63" s="53">
        <f>F63*H63</f>
        <v>5455.4</v>
      </c>
      <c r="J63" s="13" t="s">
        <v>120</v>
      </c>
      <c r="L63" s="2"/>
    </row>
    <row r="64" spans="1:12" ht="46.5" customHeight="1" x14ac:dyDescent="0.25">
      <c r="A64" s="9"/>
      <c r="B64" s="8"/>
      <c r="C64" s="4"/>
      <c r="D64" s="15" t="s">
        <v>184</v>
      </c>
      <c r="E64" s="41" t="s">
        <v>143</v>
      </c>
      <c r="F64" s="41" t="s">
        <v>143</v>
      </c>
      <c r="G64" s="13" t="s">
        <v>31</v>
      </c>
      <c r="H64" s="41" t="s">
        <v>143</v>
      </c>
      <c r="I64" s="41" t="s">
        <v>143</v>
      </c>
      <c r="J64" s="13"/>
      <c r="L64" s="2"/>
    </row>
    <row r="65" spans="1:12" ht="46.5" customHeight="1" x14ac:dyDescent="0.25">
      <c r="A65" s="9"/>
      <c r="B65" s="8"/>
      <c r="C65" s="4"/>
      <c r="D65" s="15" t="s">
        <v>230</v>
      </c>
      <c r="E65" s="41" t="s">
        <v>143</v>
      </c>
      <c r="F65" s="41" t="s">
        <v>143</v>
      </c>
      <c r="G65" s="13" t="s">
        <v>31</v>
      </c>
      <c r="H65" s="41" t="s">
        <v>143</v>
      </c>
      <c r="I65" s="41" t="s">
        <v>143</v>
      </c>
      <c r="J65" s="13"/>
      <c r="L65" s="2"/>
    </row>
    <row r="66" spans="1:12" ht="46.5" customHeight="1" x14ac:dyDescent="0.25">
      <c r="A66" s="9"/>
      <c r="B66" s="8"/>
      <c r="C66" s="4"/>
      <c r="D66" s="15" t="s">
        <v>163</v>
      </c>
      <c r="E66" s="41" t="s">
        <v>143</v>
      </c>
      <c r="F66" s="41" t="s">
        <v>143</v>
      </c>
      <c r="G66" s="13" t="s">
        <v>31</v>
      </c>
      <c r="H66" s="41" t="s">
        <v>143</v>
      </c>
      <c r="I66" s="41" t="s">
        <v>143</v>
      </c>
      <c r="J66" s="13"/>
      <c r="L66" s="2"/>
    </row>
    <row r="67" spans="1:12" ht="46.5" customHeight="1" x14ac:dyDescent="0.25">
      <c r="A67" s="9"/>
      <c r="B67" s="8"/>
      <c r="C67" s="4"/>
      <c r="D67" s="15" t="s">
        <v>185</v>
      </c>
      <c r="E67" s="41" t="s">
        <v>143</v>
      </c>
      <c r="F67" s="41" t="s">
        <v>143</v>
      </c>
      <c r="G67" s="13" t="s">
        <v>31</v>
      </c>
      <c r="H67" s="41" t="s">
        <v>143</v>
      </c>
      <c r="I67" s="41" t="s">
        <v>143</v>
      </c>
      <c r="J67" s="13"/>
      <c r="L67" s="2"/>
    </row>
    <row r="68" spans="1:12" ht="46.5" customHeight="1" x14ac:dyDescent="0.25">
      <c r="A68" s="9"/>
      <c r="B68" s="8"/>
      <c r="C68" s="4"/>
      <c r="D68" s="15" t="s">
        <v>186</v>
      </c>
      <c r="E68" s="41" t="s">
        <v>143</v>
      </c>
      <c r="F68" s="41" t="s">
        <v>143</v>
      </c>
      <c r="G68" s="13" t="s">
        <v>31</v>
      </c>
      <c r="H68" s="41" t="s">
        <v>143</v>
      </c>
      <c r="I68" s="41" t="s">
        <v>143</v>
      </c>
      <c r="J68" s="13"/>
      <c r="L68" s="2"/>
    </row>
    <row r="69" spans="1:12" ht="46.5" customHeight="1" x14ac:dyDescent="0.25">
      <c r="A69" s="9"/>
      <c r="B69" s="8"/>
      <c r="C69" s="4"/>
      <c r="D69" s="15" t="s">
        <v>189</v>
      </c>
      <c r="E69" s="31"/>
      <c r="F69" s="31">
        <f>6</f>
        <v>6</v>
      </c>
      <c r="G69" s="13" t="s">
        <v>158</v>
      </c>
      <c r="H69" s="31">
        <f>3155.4/F69</f>
        <v>525.9</v>
      </c>
      <c r="I69" s="58">
        <f>F69*H69</f>
        <v>3155.3999999999996</v>
      </c>
      <c r="J69" s="13" t="s">
        <v>123</v>
      </c>
      <c r="L69" s="2"/>
    </row>
    <row r="70" spans="1:12" ht="46.5" customHeight="1" x14ac:dyDescent="0.25">
      <c r="A70" s="9"/>
      <c r="B70" s="8"/>
      <c r="C70" s="4"/>
      <c r="D70" s="15" t="s">
        <v>191</v>
      </c>
      <c r="E70" s="41" t="s">
        <v>143</v>
      </c>
      <c r="F70" s="41" t="s">
        <v>143</v>
      </c>
      <c r="G70" s="13" t="s">
        <v>30</v>
      </c>
      <c r="H70" s="41" t="s">
        <v>143</v>
      </c>
      <c r="I70" s="41" t="s">
        <v>143</v>
      </c>
      <c r="J70" s="13"/>
      <c r="L70" s="2"/>
    </row>
    <row r="71" spans="1:12" ht="46.5" customHeight="1" x14ac:dyDescent="0.25">
      <c r="A71" s="9"/>
      <c r="B71" s="8"/>
      <c r="C71" s="4"/>
      <c r="D71" s="15" t="s">
        <v>192</v>
      </c>
      <c r="E71" s="41" t="s">
        <v>143</v>
      </c>
      <c r="F71" s="41" t="s">
        <v>143</v>
      </c>
      <c r="G71" s="13" t="s">
        <v>30</v>
      </c>
      <c r="H71" s="41" t="s">
        <v>143</v>
      </c>
      <c r="I71" s="41" t="s">
        <v>143</v>
      </c>
      <c r="J71" s="13"/>
      <c r="L71" s="2"/>
    </row>
    <row r="72" spans="1:12" ht="46.5" customHeight="1" x14ac:dyDescent="0.25">
      <c r="A72" s="9"/>
      <c r="B72" s="8"/>
      <c r="C72" s="4"/>
      <c r="D72" s="15" t="s">
        <v>176</v>
      </c>
      <c r="E72" s="41" t="s">
        <v>143</v>
      </c>
      <c r="F72" s="41" t="s">
        <v>143</v>
      </c>
      <c r="G72" s="13" t="s">
        <v>160</v>
      </c>
      <c r="H72" s="41" t="s">
        <v>143</v>
      </c>
      <c r="I72" s="41" t="s">
        <v>143</v>
      </c>
      <c r="J72" s="13"/>
      <c r="L72" s="2"/>
    </row>
    <row r="73" spans="1:12" ht="46.5" customHeight="1" x14ac:dyDescent="0.25">
      <c r="A73" s="9"/>
      <c r="B73" s="8"/>
      <c r="C73" s="4"/>
      <c r="D73" s="15" t="s">
        <v>175</v>
      </c>
      <c r="E73" s="41" t="s">
        <v>143</v>
      </c>
      <c r="F73" s="41" t="s">
        <v>143</v>
      </c>
      <c r="G73" s="13" t="s">
        <v>160</v>
      </c>
      <c r="H73" s="41" t="s">
        <v>143</v>
      </c>
      <c r="I73" s="41" t="s">
        <v>143</v>
      </c>
      <c r="J73" s="13"/>
      <c r="L73" s="2"/>
    </row>
    <row r="74" spans="1:12" ht="46.5" customHeight="1" x14ac:dyDescent="0.25">
      <c r="A74" s="9"/>
      <c r="B74" s="8"/>
      <c r="C74" s="4"/>
      <c r="D74" s="15" t="s">
        <v>136</v>
      </c>
      <c r="E74" s="41"/>
      <c r="F74" s="41">
        <f>6</f>
        <v>6</v>
      </c>
      <c r="G74" s="13" t="s">
        <v>31</v>
      </c>
      <c r="H74" s="41">
        <f>7120.2/F74</f>
        <v>1186.7</v>
      </c>
      <c r="I74" s="53">
        <f>F74*H74</f>
        <v>7120.2000000000007</v>
      </c>
      <c r="J74" s="13" t="s">
        <v>120</v>
      </c>
      <c r="L74" s="2"/>
    </row>
    <row r="75" spans="1:12" ht="31.5" x14ac:dyDescent="0.25">
      <c r="A75" s="9" t="s">
        <v>84</v>
      </c>
      <c r="B75" s="8"/>
      <c r="C75" s="4"/>
      <c r="D75" s="15" t="s">
        <v>167</v>
      </c>
      <c r="E75" s="41"/>
      <c r="F75" s="41"/>
      <c r="G75" s="13" t="s">
        <v>55</v>
      </c>
      <c r="H75" s="41">
        <v>5337.4</v>
      </c>
      <c r="I75" s="41">
        <f>F75*H75</f>
        <v>0</v>
      </c>
      <c r="J75" s="13" t="s">
        <v>118</v>
      </c>
      <c r="L75" s="2"/>
    </row>
    <row r="76" spans="1:12" ht="31.5" x14ac:dyDescent="0.25">
      <c r="A76" s="9"/>
      <c r="B76" s="8"/>
      <c r="C76" s="4"/>
      <c r="D76" s="15" t="s">
        <v>168</v>
      </c>
      <c r="E76" s="41" t="s">
        <v>143</v>
      </c>
      <c r="F76" s="41" t="s">
        <v>143</v>
      </c>
      <c r="G76" s="13" t="s">
        <v>55</v>
      </c>
      <c r="H76" s="41" t="s">
        <v>143</v>
      </c>
      <c r="I76" s="41" t="s">
        <v>143</v>
      </c>
      <c r="J76" s="13"/>
      <c r="L76" s="2"/>
    </row>
    <row r="77" spans="1:12" ht="18.75" x14ac:dyDescent="0.25">
      <c r="A77" s="9"/>
      <c r="B77" s="8"/>
      <c r="C77" s="4"/>
      <c r="D77" s="15" t="s">
        <v>223</v>
      </c>
      <c r="E77" s="41"/>
      <c r="F77" s="41">
        <f>2+3+2+7</f>
        <v>14</v>
      </c>
      <c r="G77" s="13" t="s">
        <v>31</v>
      </c>
      <c r="H77" s="46">
        <f>(2222+3331.6+2263+9900.2)/F77</f>
        <v>1265.4857142857145</v>
      </c>
      <c r="I77" s="53">
        <f t="shared" ref="I77" si="1">F77*H77</f>
        <v>17716.800000000003</v>
      </c>
      <c r="J77" s="13" t="s">
        <v>118</v>
      </c>
      <c r="L77" s="2"/>
    </row>
    <row r="78" spans="1:12" ht="18.75" x14ac:dyDescent="0.25">
      <c r="A78" s="9"/>
      <c r="B78" s="8"/>
      <c r="C78" s="4"/>
      <c r="D78" s="15" t="s">
        <v>231</v>
      </c>
      <c r="E78" s="41"/>
      <c r="F78" s="41">
        <f>1</f>
        <v>1</v>
      </c>
      <c r="G78" s="13" t="s">
        <v>31</v>
      </c>
      <c r="H78" s="41">
        <f>546/F78</f>
        <v>546</v>
      </c>
      <c r="I78" s="53">
        <f>F78*H78</f>
        <v>546</v>
      </c>
      <c r="J78" s="13" t="s">
        <v>120</v>
      </c>
      <c r="L78" s="2"/>
    </row>
    <row r="79" spans="1:12" ht="18.75" x14ac:dyDescent="0.25">
      <c r="A79" s="9"/>
      <c r="B79" s="8"/>
      <c r="C79" s="4"/>
      <c r="D79" s="15" t="s">
        <v>232</v>
      </c>
      <c r="E79" s="41"/>
      <c r="F79" s="41">
        <f>1</f>
        <v>1</v>
      </c>
      <c r="G79" s="13" t="s">
        <v>31</v>
      </c>
      <c r="H79" s="41">
        <f>3710.8/F79</f>
        <v>3710.8</v>
      </c>
      <c r="I79" s="53">
        <f>F79*H79</f>
        <v>3710.8</v>
      </c>
      <c r="J79" s="13" t="s">
        <v>120</v>
      </c>
      <c r="L79" s="2"/>
    </row>
    <row r="80" spans="1:12" ht="31.5" x14ac:dyDescent="0.25">
      <c r="A80" s="9"/>
      <c r="B80" s="8"/>
      <c r="C80" s="4"/>
      <c r="D80" s="15" t="s">
        <v>210</v>
      </c>
      <c r="E80" s="41"/>
      <c r="F80" s="41"/>
      <c r="G80" s="13" t="s">
        <v>31</v>
      </c>
      <c r="H80" s="41">
        <v>22345.8</v>
      </c>
      <c r="I80" s="41">
        <f>F80*H80</f>
        <v>0</v>
      </c>
      <c r="J80" s="13" t="s">
        <v>120</v>
      </c>
      <c r="L80" s="2"/>
    </row>
    <row r="81" spans="1:12" ht="18.75" x14ac:dyDescent="0.25">
      <c r="A81" s="9"/>
      <c r="B81" s="8"/>
      <c r="C81" s="4"/>
      <c r="D81" s="15" t="s">
        <v>169</v>
      </c>
      <c r="E81" s="41"/>
      <c r="F81" s="41"/>
      <c r="G81" s="13" t="s">
        <v>170</v>
      </c>
      <c r="H81" s="41">
        <v>2508</v>
      </c>
      <c r="I81" s="41">
        <f>F81*H81</f>
        <v>0</v>
      </c>
      <c r="J81" s="13" t="s">
        <v>118</v>
      </c>
      <c r="L81" s="2"/>
    </row>
    <row r="82" spans="1:12" ht="18.75" x14ac:dyDescent="0.25">
      <c r="A82" s="9" t="s">
        <v>20</v>
      </c>
      <c r="B82" s="8"/>
      <c r="C82" s="4"/>
      <c r="D82" s="15" t="s">
        <v>69</v>
      </c>
      <c r="E82" s="41" t="s">
        <v>143</v>
      </c>
      <c r="F82" s="41" t="s">
        <v>143</v>
      </c>
      <c r="G82" s="13" t="s">
        <v>30</v>
      </c>
      <c r="H82" s="41" t="s">
        <v>143</v>
      </c>
      <c r="I82" s="41" t="s">
        <v>143</v>
      </c>
      <c r="J82" s="13"/>
      <c r="L82" s="2"/>
    </row>
    <row r="83" spans="1:12" ht="31.5" x14ac:dyDescent="0.25">
      <c r="A83" s="9" t="s">
        <v>21</v>
      </c>
      <c r="B83" s="8"/>
      <c r="C83" s="4"/>
      <c r="D83" s="15" t="s">
        <v>71</v>
      </c>
      <c r="E83" s="41" t="s">
        <v>143</v>
      </c>
      <c r="F83" s="41" t="s">
        <v>143</v>
      </c>
      <c r="G83" s="13" t="s">
        <v>55</v>
      </c>
      <c r="H83" s="41" t="s">
        <v>143</v>
      </c>
      <c r="I83" s="41" t="s">
        <v>143</v>
      </c>
      <c r="J83" s="13"/>
      <c r="L83" s="2"/>
    </row>
    <row r="84" spans="1:12" ht="18.75" x14ac:dyDescent="0.25">
      <c r="A84" s="48"/>
      <c r="B84" s="49"/>
      <c r="C84" s="22"/>
      <c r="D84" s="30"/>
      <c r="E84" s="47"/>
      <c r="F84" s="47"/>
      <c r="G84" s="31"/>
      <c r="H84" s="41"/>
      <c r="I84" s="46">
        <f>SUM(I60:I83)</f>
        <v>296007.00000000006</v>
      </c>
      <c r="J84" s="13"/>
      <c r="L84" s="2"/>
    </row>
    <row r="85" spans="1:12" ht="18.75" x14ac:dyDescent="0.3">
      <c r="A85" s="67" t="s">
        <v>72</v>
      </c>
      <c r="B85" s="68"/>
      <c r="C85" s="68"/>
      <c r="D85" s="68"/>
      <c r="E85" s="68"/>
      <c r="F85" s="68"/>
      <c r="G85" s="69"/>
      <c r="H85" s="19"/>
      <c r="I85" s="5"/>
      <c r="J85" s="13"/>
      <c r="L85" s="2"/>
    </row>
    <row r="86" spans="1:12" ht="37.5" x14ac:dyDescent="0.25">
      <c r="A86" s="9" t="s">
        <v>93</v>
      </c>
      <c r="B86" s="8"/>
      <c r="C86" s="4"/>
      <c r="D86" s="4" t="s">
        <v>131</v>
      </c>
      <c r="E86" s="31"/>
      <c r="F86" s="13">
        <f>6+4+6+6+2+6+4+6+3+12+6</f>
        <v>61</v>
      </c>
      <c r="G86" s="13" t="s">
        <v>117</v>
      </c>
      <c r="H86" s="33">
        <f>(3790.8+2527.8+3790.8+3876.4+1291.6+3876.4+3978.4+3978.4+1988.8+8209+4103+4103)/F86/3</f>
        <v>248.71256830601098</v>
      </c>
      <c r="I86" s="33">
        <f t="shared" ref="I86" si="2">F86*H86</f>
        <v>15171.466666666669</v>
      </c>
      <c r="J86" s="13" t="s">
        <v>118</v>
      </c>
      <c r="L86" s="2"/>
    </row>
    <row r="87" spans="1:12" ht="18.75" x14ac:dyDescent="0.25">
      <c r="A87" s="9"/>
      <c r="B87" s="8"/>
      <c r="C87" s="4"/>
      <c r="D87" s="15" t="s">
        <v>157</v>
      </c>
      <c r="E87" s="41" t="s">
        <v>143</v>
      </c>
      <c r="F87" s="41" t="s">
        <v>143</v>
      </c>
      <c r="G87" s="13" t="s">
        <v>31</v>
      </c>
      <c r="H87" s="41" t="s">
        <v>143</v>
      </c>
      <c r="I87" s="46" t="s">
        <v>143</v>
      </c>
      <c r="J87" s="13"/>
      <c r="L87" s="2"/>
    </row>
    <row r="88" spans="1:12" ht="31.5" x14ac:dyDescent="0.25">
      <c r="A88" s="9"/>
      <c r="B88" s="8"/>
      <c r="C88" s="4"/>
      <c r="D88" s="15" t="s">
        <v>176</v>
      </c>
      <c r="E88" s="41" t="s">
        <v>143</v>
      </c>
      <c r="F88" s="41" t="s">
        <v>143</v>
      </c>
      <c r="G88" s="13" t="s">
        <v>160</v>
      </c>
      <c r="H88" s="41" t="s">
        <v>143</v>
      </c>
      <c r="I88" s="46" t="s">
        <v>143</v>
      </c>
      <c r="J88" s="13"/>
      <c r="L88" s="2"/>
    </row>
    <row r="89" spans="1:12" ht="31.5" x14ac:dyDescent="0.25">
      <c r="A89" s="9"/>
      <c r="B89" s="8"/>
      <c r="C89" s="4"/>
      <c r="D89" s="15" t="s">
        <v>194</v>
      </c>
      <c r="E89" s="41" t="s">
        <v>143</v>
      </c>
      <c r="F89" s="41" t="s">
        <v>143</v>
      </c>
      <c r="G89" s="13" t="s">
        <v>30</v>
      </c>
      <c r="H89" s="41" t="s">
        <v>143</v>
      </c>
      <c r="I89" s="46" t="s">
        <v>143</v>
      </c>
      <c r="J89" s="13"/>
      <c r="L89" s="2"/>
    </row>
    <row r="90" spans="1:12" ht="78.75" x14ac:dyDescent="0.25">
      <c r="A90" s="9"/>
      <c r="B90" s="8"/>
      <c r="C90" s="4"/>
      <c r="D90" s="15" t="s">
        <v>195</v>
      </c>
      <c r="E90" s="41" t="s">
        <v>143</v>
      </c>
      <c r="F90" s="41" t="s">
        <v>143</v>
      </c>
      <c r="G90" s="13" t="s">
        <v>177</v>
      </c>
      <c r="H90" s="41" t="s">
        <v>143</v>
      </c>
      <c r="I90" s="46" t="s">
        <v>143</v>
      </c>
      <c r="J90" s="13"/>
      <c r="L90" s="2"/>
    </row>
    <row r="91" spans="1:12" ht="47.25" x14ac:dyDescent="0.25">
      <c r="A91" s="9"/>
      <c r="B91" s="8"/>
      <c r="C91" s="4"/>
      <c r="D91" s="15" t="s">
        <v>196</v>
      </c>
      <c r="E91" s="41" t="s">
        <v>143</v>
      </c>
      <c r="F91" s="41" t="s">
        <v>143</v>
      </c>
      <c r="G91" s="13" t="s">
        <v>30</v>
      </c>
      <c r="H91" s="41" t="s">
        <v>143</v>
      </c>
      <c r="I91" s="46" t="s">
        <v>143</v>
      </c>
      <c r="J91" s="13"/>
      <c r="L91" s="2"/>
    </row>
    <row r="92" spans="1:12" ht="31.5" x14ac:dyDescent="0.25">
      <c r="A92" s="9"/>
      <c r="B92" s="8"/>
      <c r="C92" s="4"/>
      <c r="D92" s="15" t="s">
        <v>193</v>
      </c>
      <c r="E92" s="41" t="s">
        <v>143</v>
      </c>
      <c r="F92" s="41" t="s">
        <v>143</v>
      </c>
      <c r="G92" s="13" t="s">
        <v>160</v>
      </c>
      <c r="H92" s="41" t="s">
        <v>143</v>
      </c>
      <c r="I92" s="46" t="s">
        <v>143</v>
      </c>
      <c r="J92" s="13"/>
      <c r="L92" s="2"/>
    </row>
    <row r="93" spans="1:12" ht="31.5" x14ac:dyDescent="0.25">
      <c r="A93" s="9"/>
      <c r="B93" s="8"/>
      <c r="C93" s="4"/>
      <c r="D93" s="15" t="s">
        <v>209</v>
      </c>
      <c r="E93" s="41"/>
      <c r="F93" s="41"/>
      <c r="G93" s="13" t="s">
        <v>30</v>
      </c>
      <c r="H93" s="41"/>
      <c r="I93" s="46"/>
      <c r="J93" s="13"/>
      <c r="L93" s="2"/>
    </row>
    <row r="94" spans="1:12" ht="31.5" x14ac:dyDescent="0.25">
      <c r="A94" s="9"/>
      <c r="B94" s="8"/>
      <c r="C94" s="4"/>
      <c r="D94" s="15" t="s">
        <v>190</v>
      </c>
      <c r="E94" s="41" t="s">
        <v>143</v>
      </c>
      <c r="F94" s="41" t="s">
        <v>143</v>
      </c>
      <c r="G94" s="13" t="s">
        <v>30</v>
      </c>
      <c r="H94" s="41" t="s">
        <v>143</v>
      </c>
      <c r="I94" s="46" t="s">
        <v>143</v>
      </c>
      <c r="J94" s="13"/>
      <c r="L94" s="2"/>
    </row>
    <row r="95" spans="1:12" ht="18.75" x14ac:dyDescent="0.25">
      <c r="A95" s="9" t="s">
        <v>84</v>
      </c>
      <c r="B95" s="8"/>
      <c r="C95" s="4"/>
      <c r="D95" s="15" t="s">
        <v>70</v>
      </c>
      <c r="E95" s="41" t="s">
        <v>143</v>
      </c>
      <c r="F95" s="41" t="s">
        <v>143</v>
      </c>
      <c r="G95" s="13" t="s">
        <v>55</v>
      </c>
      <c r="H95" s="41" t="s">
        <v>143</v>
      </c>
      <c r="I95" s="46" t="s">
        <v>143</v>
      </c>
      <c r="J95" s="13"/>
      <c r="L95" s="2"/>
    </row>
    <row r="96" spans="1:12" ht="18.75" x14ac:dyDescent="0.25">
      <c r="A96" s="9"/>
      <c r="B96" s="8"/>
      <c r="C96" s="4"/>
      <c r="D96" s="15" t="s">
        <v>233</v>
      </c>
      <c r="E96" s="41"/>
      <c r="F96" s="41">
        <f>1</f>
        <v>1</v>
      </c>
      <c r="G96" s="13" t="s">
        <v>31</v>
      </c>
      <c r="H96" s="41">
        <f>21667.4/F96</f>
        <v>21667.4</v>
      </c>
      <c r="I96" s="54">
        <f>F96*H96</f>
        <v>21667.4</v>
      </c>
      <c r="J96" s="13" t="s">
        <v>120</v>
      </c>
      <c r="L96" s="2"/>
    </row>
    <row r="97" spans="1:12" ht="18.75" x14ac:dyDescent="0.25">
      <c r="A97" s="9"/>
      <c r="B97" s="8"/>
      <c r="C97" s="4"/>
      <c r="D97" s="15" t="s">
        <v>199</v>
      </c>
      <c r="E97" s="41" t="s">
        <v>143</v>
      </c>
      <c r="F97" s="41">
        <f>8</f>
        <v>8</v>
      </c>
      <c r="G97" s="13" t="s">
        <v>31</v>
      </c>
      <c r="H97" s="41">
        <f>9833.4/F97</f>
        <v>1229.175</v>
      </c>
      <c r="I97" s="54">
        <f>F97*H97</f>
        <v>9833.4</v>
      </c>
      <c r="J97" s="13" t="s">
        <v>123</v>
      </c>
      <c r="L97" s="2"/>
    </row>
    <row r="98" spans="1:12" ht="31.5" x14ac:dyDescent="0.25">
      <c r="A98" s="9" t="s">
        <v>21</v>
      </c>
      <c r="B98" s="8"/>
      <c r="C98" s="4"/>
      <c r="D98" s="15" t="s">
        <v>71</v>
      </c>
      <c r="E98" s="41" t="s">
        <v>143</v>
      </c>
      <c r="F98" s="41" t="s">
        <v>143</v>
      </c>
      <c r="G98" s="13" t="s">
        <v>146</v>
      </c>
      <c r="H98" s="41" t="s">
        <v>143</v>
      </c>
      <c r="I98" s="46" t="s">
        <v>143</v>
      </c>
      <c r="J98" s="13"/>
      <c r="L98" s="2"/>
    </row>
    <row r="99" spans="1:12" ht="18.75" x14ac:dyDescent="0.25">
      <c r="A99" s="48"/>
      <c r="B99" s="49"/>
      <c r="C99" s="22"/>
      <c r="D99" s="30"/>
      <c r="E99" s="47"/>
      <c r="F99" s="47"/>
      <c r="G99" s="31"/>
      <c r="H99" s="41"/>
      <c r="I99" s="46">
        <f>SUM(I86:I98)</f>
        <v>46672.26666666667</v>
      </c>
      <c r="J99" s="13"/>
      <c r="L99" s="2"/>
    </row>
    <row r="100" spans="1:12" ht="18.75" x14ac:dyDescent="0.3">
      <c r="A100" s="67" t="s">
        <v>73</v>
      </c>
      <c r="B100" s="68"/>
      <c r="C100" s="68"/>
      <c r="D100" s="68"/>
      <c r="E100" s="68"/>
      <c r="F100" s="68"/>
      <c r="G100" s="69"/>
      <c r="H100" s="13"/>
      <c r="I100" s="5"/>
      <c r="J100" s="13"/>
      <c r="L100" s="2"/>
    </row>
    <row r="101" spans="1:12" ht="37.5" x14ac:dyDescent="0.25">
      <c r="A101" s="9" t="s">
        <v>93</v>
      </c>
      <c r="B101" s="8"/>
      <c r="C101" s="4"/>
      <c r="D101" s="4" t="s">
        <v>132</v>
      </c>
      <c r="E101" s="31"/>
      <c r="F101" s="13">
        <f>6+4+6+6+2+6+4+6+3+12+6</f>
        <v>61</v>
      </c>
      <c r="G101" s="13" t="s">
        <v>117</v>
      </c>
      <c r="H101" s="33">
        <f>(3790.8+2527.8+3790.8+3876.4+1291.6+3876.4+3978.4+3978.4+1988.8+8209+4103+4103)/F101/3</f>
        <v>248.71256830601098</v>
      </c>
      <c r="I101" s="33">
        <f t="shared" ref="I101" si="3">F101*H101</f>
        <v>15171.466666666669</v>
      </c>
      <c r="J101" s="13" t="s">
        <v>118</v>
      </c>
      <c r="L101" s="2"/>
    </row>
    <row r="102" spans="1:12" ht="31.5" x14ac:dyDescent="0.25">
      <c r="A102" s="9"/>
      <c r="B102" s="8"/>
      <c r="C102" s="4"/>
      <c r="D102" s="15" t="s">
        <v>178</v>
      </c>
      <c r="E102" s="31"/>
      <c r="F102" s="31"/>
      <c r="G102" s="13" t="s">
        <v>30</v>
      </c>
      <c r="H102" s="31"/>
      <c r="I102" s="45"/>
      <c r="J102" s="13"/>
      <c r="L102" s="2"/>
    </row>
    <row r="103" spans="1:12" ht="78.75" x14ac:dyDescent="0.25">
      <c r="A103" s="9"/>
      <c r="B103" s="8"/>
      <c r="C103" s="4"/>
      <c r="D103" s="15" t="s">
        <v>207</v>
      </c>
      <c r="E103" s="41"/>
      <c r="F103" s="41"/>
      <c r="G103" s="13" t="s">
        <v>177</v>
      </c>
      <c r="H103" s="41"/>
      <c r="I103" s="41"/>
      <c r="J103" s="13"/>
      <c r="L103" s="2"/>
    </row>
    <row r="104" spans="1:12" ht="47.25" x14ac:dyDescent="0.25">
      <c r="A104" s="9"/>
      <c r="B104" s="8"/>
      <c r="C104" s="4"/>
      <c r="D104" s="15" t="s">
        <v>208</v>
      </c>
      <c r="E104" s="41"/>
      <c r="F104" s="41"/>
      <c r="G104" s="13" t="s">
        <v>30</v>
      </c>
      <c r="H104" s="41"/>
      <c r="I104" s="41"/>
      <c r="J104" s="13"/>
      <c r="L104" s="2"/>
    </row>
    <row r="105" spans="1:12" ht="78.75" x14ac:dyDescent="0.25">
      <c r="A105" s="9"/>
      <c r="B105" s="8"/>
      <c r="C105" s="4"/>
      <c r="D105" s="15" t="s">
        <v>179</v>
      </c>
      <c r="E105" s="31"/>
      <c r="F105" s="31"/>
      <c r="G105" s="13" t="s">
        <v>177</v>
      </c>
      <c r="H105" s="31"/>
      <c r="I105" s="31"/>
      <c r="J105" s="13"/>
      <c r="L105" s="2"/>
    </row>
    <row r="106" spans="1:12" ht="47.25" x14ac:dyDescent="0.25">
      <c r="A106" s="9"/>
      <c r="B106" s="8"/>
      <c r="C106" s="4"/>
      <c r="D106" s="15" t="s">
        <v>159</v>
      </c>
      <c r="E106" s="31"/>
      <c r="F106" s="31"/>
      <c r="G106" s="13" t="s">
        <v>30</v>
      </c>
      <c r="H106" s="31"/>
      <c r="I106" s="31"/>
      <c r="J106" s="13"/>
      <c r="L106" s="2"/>
    </row>
    <row r="107" spans="1:12" ht="47.25" x14ac:dyDescent="0.25">
      <c r="A107" s="9"/>
      <c r="B107" s="8"/>
      <c r="C107" s="4"/>
      <c r="D107" s="15" t="s">
        <v>180</v>
      </c>
      <c r="E107" s="41" t="s">
        <v>143</v>
      </c>
      <c r="F107" s="41" t="s">
        <v>143</v>
      </c>
      <c r="G107" s="13" t="s">
        <v>30</v>
      </c>
      <c r="H107" s="41" t="s">
        <v>143</v>
      </c>
      <c r="I107" s="41" t="s">
        <v>143</v>
      </c>
      <c r="J107" s="13"/>
      <c r="L107" s="2"/>
    </row>
    <row r="108" spans="1:12" ht="31.5" x14ac:dyDescent="0.25">
      <c r="A108" s="9"/>
      <c r="B108" s="8"/>
      <c r="C108" s="4"/>
      <c r="D108" s="15" t="s">
        <v>181</v>
      </c>
      <c r="E108" s="41" t="s">
        <v>143</v>
      </c>
      <c r="F108" s="41" t="s">
        <v>143</v>
      </c>
      <c r="G108" s="13" t="s">
        <v>30</v>
      </c>
      <c r="H108" s="41" t="s">
        <v>143</v>
      </c>
      <c r="I108" s="41" t="s">
        <v>143</v>
      </c>
      <c r="J108" s="13"/>
      <c r="L108" s="2"/>
    </row>
    <row r="109" spans="1:12" ht="31.5" x14ac:dyDescent="0.25">
      <c r="A109" s="9"/>
      <c r="B109" s="8"/>
      <c r="C109" s="4"/>
      <c r="D109" s="15" t="s">
        <v>200</v>
      </c>
      <c r="E109" s="41" t="s">
        <v>143</v>
      </c>
      <c r="F109" s="41" t="s">
        <v>143</v>
      </c>
      <c r="G109" s="13" t="s">
        <v>30</v>
      </c>
      <c r="H109" s="41" t="s">
        <v>143</v>
      </c>
      <c r="I109" s="41" t="s">
        <v>143</v>
      </c>
      <c r="J109" s="13"/>
      <c r="L109" s="2"/>
    </row>
    <row r="110" spans="1:12" ht="31.5" x14ac:dyDescent="0.25">
      <c r="A110" s="9"/>
      <c r="B110" s="8"/>
      <c r="C110" s="4"/>
      <c r="D110" s="15" t="s">
        <v>182</v>
      </c>
      <c r="E110" s="41" t="s">
        <v>143</v>
      </c>
      <c r="F110" s="41" t="s">
        <v>143</v>
      </c>
      <c r="G110" s="13" t="s">
        <v>30</v>
      </c>
      <c r="H110" s="41" t="s">
        <v>143</v>
      </c>
      <c r="I110" s="41" t="s">
        <v>143</v>
      </c>
      <c r="J110" s="13"/>
      <c r="L110" s="2"/>
    </row>
    <row r="111" spans="1:12" ht="31.5" x14ac:dyDescent="0.25">
      <c r="A111" s="9"/>
      <c r="B111" s="8"/>
      <c r="C111" s="4"/>
      <c r="D111" s="15" t="s">
        <v>175</v>
      </c>
      <c r="E111" s="41" t="s">
        <v>143</v>
      </c>
      <c r="F111" s="41">
        <f>1</f>
        <v>1</v>
      </c>
      <c r="G111" s="13" t="s">
        <v>160</v>
      </c>
      <c r="H111" s="41">
        <f>6819.6/F111</f>
        <v>6819.6</v>
      </c>
      <c r="I111" s="53">
        <f>F111*H111</f>
        <v>6819.6</v>
      </c>
      <c r="J111" s="13" t="s">
        <v>123</v>
      </c>
      <c r="L111" s="2"/>
    </row>
    <row r="112" spans="1:12" ht="18.75" x14ac:dyDescent="0.25">
      <c r="A112" s="9"/>
      <c r="B112" s="8"/>
      <c r="C112" s="4"/>
      <c r="D112" s="15" t="s">
        <v>189</v>
      </c>
      <c r="E112" s="31"/>
      <c r="F112" s="31"/>
      <c r="G112" s="13" t="s">
        <v>158</v>
      </c>
      <c r="H112" s="31">
        <v>488.7</v>
      </c>
      <c r="I112" s="31">
        <f>F112*H112</f>
        <v>0</v>
      </c>
      <c r="J112" s="13" t="s">
        <v>154</v>
      </c>
      <c r="L112" s="2"/>
    </row>
    <row r="113" spans="1:12" ht="18.75" x14ac:dyDescent="0.25">
      <c r="A113" s="9"/>
      <c r="B113" s="8"/>
      <c r="C113" s="4"/>
      <c r="D113" s="15" t="s">
        <v>174</v>
      </c>
      <c r="E113" s="41" t="s">
        <v>143</v>
      </c>
      <c r="F113" s="41">
        <f>1</f>
        <v>1</v>
      </c>
      <c r="G113" s="13" t="s">
        <v>158</v>
      </c>
      <c r="H113" s="41">
        <f>943.8/F113</f>
        <v>943.8</v>
      </c>
      <c r="I113" s="53">
        <f>F113*H113</f>
        <v>943.8</v>
      </c>
      <c r="J113" s="13" t="s">
        <v>123</v>
      </c>
      <c r="L113" s="2"/>
    </row>
    <row r="114" spans="1:12" ht="18.75" x14ac:dyDescent="0.25">
      <c r="A114" s="9" t="s">
        <v>84</v>
      </c>
      <c r="B114" s="8"/>
      <c r="C114" s="4"/>
      <c r="D114" s="15" t="s">
        <v>70</v>
      </c>
      <c r="E114" s="41" t="s">
        <v>143</v>
      </c>
      <c r="F114" s="41" t="s">
        <v>143</v>
      </c>
      <c r="G114" s="14" t="s">
        <v>55</v>
      </c>
      <c r="H114" s="41" t="s">
        <v>143</v>
      </c>
      <c r="I114" s="41" t="s">
        <v>143</v>
      </c>
      <c r="J114" s="13"/>
      <c r="L114" s="2"/>
    </row>
    <row r="115" spans="1:12" ht="18.75" x14ac:dyDescent="0.25">
      <c r="A115" s="9"/>
      <c r="B115" s="8"/>
      <c r="C115" s="4"/>
      <c r="D115" s="15" t="s">
        <v>199</v>
      </c>
      <c r="E115" s="41" t="s">
        <v>143</v>
      </c>
      <c r="F115" s="41">
        <v>2</v>
      </c>
      <c r="G115" s="13" t="s">
        <v>31</v>
      </c>
      <c r="H115" s="41">
        <f>2899.4/F115</f>
        <v>1449.7</v>
      </c>
      <c r="I115" s="54">
        <f>F115*H115</f>
        <v>2899.4</v>
      </c>
      <c r="J115" s="13" t="s">
        <v>123</v>
      </c>
      <c r="L115" s="2"/>
    </row>
    <row r="116" spans="1:12" ht="31.5" x14ac:dyDescent="0.25">
      <c r="A116" s="9" t="s">
        <v>21</v>
      </c>
      <c r="B116" s="8"/>
      <c r="C116" s="4"/>
      <c r="D116" s="15" t="s">
        <v>71</v>
      </c>
      <c r="E116" s="41" t="s">
        <v>143</v>
      </c>
      <c r="F116" s="41" t="s">
        <v>143</v>
      </c>
      <c r="G116" s="14" t="s">
        <v>55</v>
      </c>
      <c r="H116" s="41" t="s">
        <v>143</v>
      </c>
      <c r="I116" s="41" t="s">
        <v>143</v>
      </c>
      <c r="J116" s="13"/>
      <c r="L116" s="2"/>
    </row>
    <row r="117" spans="1:12" ht="18.75" x14ac:dyDescent="0.25">
      <c r="A117" s="48"/>
      <c r="B117" s="49"/>
      <c r="C117" s="22"/>
      <c r="D117" s="30"/>
      <c r="E117" s="47"/>
      <c r="F117" s="47"/>
      <c r="G117" s="12"/>
      <c r="H117" s="41"/>
      <c r="I117" s="46">
        <f>SUM(I101:I116)</f>
        <v>25834.26666666667</v>
      </c>
      <c r="J117" s="13"/>
      <c r="L117" s="2"/>
    </row>
    <row r="118" spans="1:12" ht="18.75" x14ac:dyDescent="0.3">
      <c r="A118" s="67" t="s">
        <v>74</v>
      </c>
      <c r="B118" s="68"/>
      <c r="C118" s="68"/>
      <c r="D118" s="68"/>
      <c r="E118" s="68"/>
      <c r="F118" s="68"/>
      <c r="G118" s="69"/>
      <c r="H118" s="19"/>
      <c r="I118" s="5"/>
      <c r="J118" s="13"/>
      <c r="L118" s="2"/>
    </row>
    <row r="119" spans="1:12" ht="37.5" x14ac:dyDescent="0.25">
      <c r="A119" s="9" t="s">
        <v>99</v>
      </c>
      <c r="B119" s="8"/>
      <c r="C119" s="4"/>
      <c r="D119" s="4" t="s">
        <v>133</v>
      </c>
      <c r="E119" s="31"/>
      <c r="F119" s="13">
        <f>6+4+6+6+2+6+4+6+3+12+6</f>
        <v>61</v>
      </c>
      <c r="G119" s="13" t="s">
        <v>117</v>
      </c>
      <c r="H119" s="33">
        <f>(3790.8+2527.8+3790.8+3876.4+1291.6+3876.4+3978.4+3978.4+1988.8+8209+4103+4103)/F119/3</f>
        <v>248.71256830601098</v>
      </c>
      <c r="I119" s="33">
        <f t="shared" ref="I119:I124" si="4">F119*H119</f>
        <v>15171.466666666669</v>
      </c>
      <c r="J119" s="13" t="s">
        <v>118</v>
      </c>
      <c r="L119" s="2"/>
    </row>
    <row r="120" spans="1:12" ht="31.5" x14ac:dyDescent="0.25">
      <c r="A120" s="9"/>
      <c r="B120" s="8"/>
      <c r="C120" s="4"/>
      <c r="D120" s="15" t="s">
        <v>211</v>
      </c>
      <c r="E120" s="31"/>
      <c r="F120" s="31"/>
      <c r="G120" s="13" t="s">
        <v>30</v>
      </c>
      <c r="H120" s="31"/>
      <c r="I120" s="31"/>
      <c r="J120" s="13"/>
      <c r="L120" s="2"/>
    </row>
    <row r="121" spans="1:12" ht="31.5" x14ac:dyDescent="0.25">
      <c r="A121" s="9"/>
      <c r="B121" s="8"/>
      <c r="C121" s="4"/>
      <c r="D121" s="15" t="s">
        <v>212</v>
      </c>
      <c r="E121" s="41"/>
      <c r="F121" s="41"/>
      <c r="G121" s="13" t="s">
        <v>30</v>
      </c>
      <c r="H121" s="41"/>
      <c r="I121" s="41"/>
      <c r="J121" s="13"/>
      <c r="L121" s="2"/>
    </row>
    <row r="122" spans="1:12" ht="31.5" x14ac:dyDescent="0.25">
      <c r="A122" s="9"/>
      <c r="B122" s="8"/>
      <c r="C122" s="4"/>
      <c r="D122" s="15" t="s">
        <v>213</v>
      </c>
      <c r="E122" s="31"/>
      <c r="F122" s="31"/>
      <c r="G122" s="13" t="s">
        <v>30</v>
      </c>
      <c r="H122" s="31"/>
      <c r="I122" s="31"/>
      <c r="J122" s="13"/>
      <c r="L122" s="2"/>
    </row>
    <row r="123" spans="1:12" ht="31.5" x14ac:dyDescent="0.25">
      <c r="A123" s="9"/>
      <c r="B123" s="8"/>
      <c r="C123" s="4"/>
      <c r="D123" s="15" t="s">
        <v>124</v>
      </c>
      <c r="E123" s="41"/>
      <c r="F123" s="41"/>
      <c r="G123" s="13" t="s">
        <v>30</v>
      </c>
      <c r="H123" s="41"/>
      <c r="I123" s="41"/>
      <c r="J123" s="13"/>
      <c r="L123" s="2"/>
    </row>
    <row r="124" spans="1:12" ht="18.75" x14ac:dyDescent="0.25">
      <c r="A124" s="9"/>
      <c r="B124" s="8"/>
      <c r="C124" s="4"/>
      <c r="D124" s="4" t="s">
        <v>116</v>
      </c>
      <c r="E124" s="41"/>
      <c r="F124" s="41">
        <f>26+28+26+12+32+28+32+42+38+48+36+42</f>
        <v>390</v>
      </c>
      <c r="G124" s="13" t="s">
        <v>30</v>
      </c>
      <c r="H124" s="46">
        <f>(7830.4+8430.6+7830.4+3693+9847.6+8618+10128.2+13293.8+12027.2+15648.4+11736.4+13695)/F124</f>
        <v>314.8179487179487</v>
      </c>
      <c r="I124" s="41">
        <f t="shared" si="4"/>
        <v>122778.99999999999</v>
      </c>
      <c r="J124" s="13" t="s">
        <v>118</v>
      </c>
      <c r="L124" s="2"/>
    </row>
    <row r="125" spans="1:12" ht="18.75" x14ac:dyDescent="0.25">
      <c r="A125" s="9"/>
      <c r="B125" s="8"/>
      <c r="C125" s="4"/>
      <c r="D125" s="4" t="s">
        <v>162</v>
      </c>
      <c r="E125" s="41"/>
      <c r="F125" s="41"/>
      <c r="G125" s="13" t="s">
        <v>30</v>
      </c>
      <c r="H125" s="41" t="s">
        <v>143</v>
      </c>
      <c r="I125" s="41" t="s">
        <v>143</v>
      </c>
      <c r="J125" s="13"/>
      <c r="L125" s="2"/>
    </row>
    <row r="126" spans="1:12" ht="18.75" x14ac:dyDescent="0.25">
      <c r="A126" s="9"/>
      <c r="B126" s="8"/>
      <c r="C126" s="4"/>
      <c r="D126" s="4" t="s">
        <v>187</v>
      </c>
      <c r="E126" s="41"/>
      <c r="F126" s="41"/>
      <c r="G126" s="13" t="s">
        <v>140</v>
      </c>
      <c r="H126" s="41"/>
      <c r="I126" s="41"/>
      <c r="J126" s="13"/>
      <c r="L126" s="2"/>
    </row>
    <row r="127" spans="1:12" ht="18.75" x14ac:dyDescent="0.25">
      <c r="A127" s="9"/>
      <c r="B127" s="8"/>
      <c r="C127" s="4"/>
      <c r="D127" s="4" t="s">
        <v>188</v>
      </c>
      <c r="E127" s="41" t="s">
        <v>143</v>
      </c>
      <c r="F127" s="41" t="s">
        <v>143</v>
      </c>
      <c r="G127" s="13" t="s">
        <v>140</v>
      </c>
      <c r="H127" s="41" t="s">
        <v>143</v>
      </c>
      <c r="I127" s="41" t="s">
        <v>143</v>
      </c>
      <c r="J127" s="13"/>
      <c r="L127" s="2"/>
    </row>
    <row r="128" spans="1:12" ht="18.75" x14ac:dyDescent="0.25">
      <c r="A128" s="9" t="s">
        <v>22</v>
      </c>
      <c r="B128" s="8"/>
      <c r="C128" s="4"/>
      <c r="D128" s="4" t="s">
        <v>77</v>
      </c>
      <c r="E128" s="41" t="s">
        <v>143</v>
      </c>
      <c r="F128" s="41" t="s">
        <v>143</v>
      </c>
      <c r="G128" s="13" t="s">
        <v>30</v>
      </c>
      <c r="H128" s="41" t="s">
        <v>143</v>
      </c>
      <c r="I128" s="41" t="s">
        <v>143</v>
      </c>
      <c r="J128" s="13"/>
      <c r="L128" s="2"/>
    </row>
    <row r="129" spans="1:12" ht="18.75" x14ac:dyDescent="0.25">
      <c r="A129" s="48"/>
      <c r="B129" s="49"/>
      <c r="C129" s="22"/>
      <c r="D129" s="22"/>
      <c r="E129" s="47"/>
      <c r="F129" s="47"/>
      <c r="G129" s="31"/>
      <c r="H129" s="41"/>
      <c r="I129" s="46">
        <f>SUM(I119:I128)</f>
        <v>137950.46666666665</v>
      </c>
      <c r="J129" s="13"/>
      <c r="L129" s="2"/>
    </row>
    <row r="130" spans="1:12" ht="18.75" x14ac:dyDescent="0.3">
      <c r="A130" s="67" t="s">
        <v>79</v>
      </c>
      <c r="B130" s="68"/>
      <c r="C130" s="68"/>
      <c r="D130" s="68"/>
      <c r="E130" s="68"/>
      <c r="F130" s="68"/>
      <c r="G130" s="69"/>
      <c r="H130" s="5"/>
      <c r="I130" s="5"/>
      <c r="J130" s="13"/>
      <c r="L130" s="2"/>
    </row>
    <row r="131" spans="1:12" ht="38.25" customHeight="1" x14ac:dyDescent="0.25">
      <c r="A131" s="9" t="s">
        <v>23</v>
      </c>
      <c r="B131" s="5"/>
      <c r="C131" s="4"/>
      <c r="D131" s="15" t="s">
        <v>144</v>
      </c>
      <c r="E131" s="41"/>
      <c r="F131" s="41">
        <f>1</f>
        <v>1</v>
      </c>
      <c r="G131" s="13" t="s">
        <v>55</v>
      </c>
      <c r="H131" s="41">
        <f>7211/F131</f>
        <v>7211</v>
      </c>
      <c r="I131" s="53">
        <f>F131*H131</f>
        <v>7211</v>
      </c>
      <c r="J131" s="13" t="s">
        <v>123</v>
      </c>
      <c r="L131" s="2"/>
    </row>
    <row r="132" spans="1:12" ht="38.25" customHeight="1" x14ac:dyDescent="0.25">
      <c r="A132" s="9"/>
      <c r="B132" s="5"/>
      <c r="C132" s="4"/>
      <c r="D132" s="15" t="s">
        <v>218</v>
      </c>
      <c r="E132" s="41"/>
      <c r="F132" s="41"/>
      <c r="G132" s="13" t="s">
        <v>31</v>
      </c>
      <c r="H132" s="41"/>
      <c r="I132" s="41"/>
      <c r="J132" s="44"/>
      <c r="L132" s="2"/>
    </row>
    <row r="133" spans="1:12" ht="38.25" customHeight="1" x14ac:dyDescent="0.25">
      <c r="A133" s="9"/>
      <c r="B133" s="5"/>
      <c r="C133" s="4"/>
      <c r="D133" s="15" t="s">
        <v>171</v>
      </c>
      <c r="E133" s="41"/>
      <c r="F133" s="41"/>
      <c r="G133" s="13" t="s">
        <v>31</v>
      </c>
      <c r="H133" s="41" t="s">
        <v>143</v>
      </c>
      <c r="I133" s="41" t="s">
        <v>143</v>
      </c>
      <c r="J133" s="13"/>
      <c r="L133" s="2"/>
    </row>
    <row r="134" spans="1:12" ht="18.75" x14ac:dyDescent="0.25">
      <c r="A134" s="9" t="s">
        <v>24</v>
      </c>
      <c r="B134" s="5"/>
      <c r="C134" s="4"/>
      <c r="D134" s="4" t="s">
        <v>78</v>
      </c>
      <c r="E134" s="41"/>
      <c r="F134" s="41"/>
      <c r="G134" s="13" t="s">
        <v>55</v>
      </c>
      <c r="H134" s="41" t="s">
        <v>143</v>
      </c>
      <c r="I134" s="41" t="s">
        <v>143</v>
      </c>
      <c r="J134" s="13"/>
      <c r="L134" s="2"/>
    </row>
    <row r="135" spans="1:12" ht="31.5" x14ac:dyDescent="0.25">
      <c r="A135" s="9" t="s">
        <v>129</v>
      </c>
      <c r="B135" s="5"/>
      <c r="C135" s="4"/>
      <c r="D135" s="15" t="s">
        <v>156</v>
      </c>
      <c r="E135" s="41"/>
      <c r="F135" s="41"/>
      <c r="G135" s="13" t="s">
        <v>55</v>
      </c>
      <c r="H135" s="41"/>
      <c r="I135" s="41"/>
      <c r="J135" s="13"/>
      <c r="L135" s="2"/>
    </row>
    <row r="136" spans="1:12" ht="18.75" x14ac:dyDescent="0.25">
      <c r="A136" s="9"/>
      <c r="B136" s="5"/>
      <c r="C136" s="4"/>
      <c r="D136" s="15" t="s">
        <v>172</v>
      </c>
      <c r="E136" s="41"/>
      <c r="F136" s="41"/>
      <c r="G136" s="13" t="s">
        <v>152</v>
      </c>
      <c r="H136" s="41"/>
      <c r="I136" s="41"/>
      <c r="J136" s="13"/>
      <c r="L136" s="2"/>
    </row>
    <row r="137" spans="1:12" ht="31.5" x14ac:dyDescent="0.25">
      <c r="A137" s="9"/>
      <c r="B137" s="5"/>
      <c r="C137" s="4"/>
      <c r="D137" s="15" t="s">
        <v>130</v>
      </c>
      <c r="E137" s="41"/>
      <c r="F137" s="41">
        <f>1</f>
        <v>1</v>
      </c>
      <c r="G137" s="13" t="s">
        <v>31</v>
      </c>
      <c r="H137" s="41">
        <f>1729.4</f>
        <v>1729.4</v>
      </c>
      <c r="I137" s="41">
        <f>F137*H137</f>
        <v>1729.4</v>
      </c>
      <c r="J137" s="13" t="s">
        <v>123</v>
      </c>
      <c r="L137" s="2"/>
    </row>
    <row r="138" spans="1:12" ht="18.75" x14ac:dyDescent="0.25">
      <c r="A138" s="9"/>
      <c r="B138" s="5"/>
      <c r="C138" s="4"/>
      <c r="D138" s="15" t="s">
        <v>183</v>
      </c>
      <c r="E138" s="41"/>
      <c r="F138" s="41"/>
      <c r="G138" s="13" t="s">
        <v>55</v>
      </c>
      <c r="H138" s="41" t="s">
        <v>143</v>
      </c>
      <c r="I138" s="41" t="s">
        <v>143</v>
      </c>
      <c r="J138" s="13"/>
      <c r="L138" s="2"/>
    </row>
    <row r="139" spans="1:12" ht="18.75" x14ac:dyDescent="0.25">
      <c r="A139" s="9"/>
      <c r="B139" s="5"/>
      <c r="C139" s="4"/>
      <c r="D139" s="15" t="s">
        <v>108</v>
      </c>
      <c r="E139" s="32"/>
      <c r="F139" s="13">
        <f>3+6+1+1+3+2+4+1</f>
        <v>21</v>
      </c>
      <c r="G139" s="13" t="s">
        <v>55</v>
      </c>
      <c r="H139" s="33">
        <f>(505.8+1007+168.8+168.8+512.8+339.8+691.8+173)/F139</f>
        <v>169.89523809523811</v>
      </c>
      <c r="I139" s="13">
        <f t="shared" ref="I139" si="5">F139*H139</f>
        <v>3567.8</v>
      </c>
      <c r="J139" s="13" t="s">
        <v>118</v>
      </c>
      <c r="L139" s="2"/>
    </row>
    <row r="140" spans="1:12" ht="18.75" x14ac:dyDescent="0.25">
      <c r="A140" s="9"/>
      <c r="B140" s="5"/>
      <c r="C140" s="4"/>
      <c r="D140" s="15" t="s">
        <v>206</v>
      </c>
      <c r="E140" s="41"/>
      <c r="F140" s="41"/>
      <c r="G140" s="13" t="s">
        <v>31</v>
      </c>
      <c r="H140" s="41"/>
      <c r="I140" s="41"/>
      <c r="J140" s="13"/>
      <c r="L140" s="2"/>
    </row>
    <row r="141" spans="1:12" ht="56.25" x14ac:dyDescent="0.25">
      <c r="A141" s="9" t="s">
        <v>109</v>
      </c>
      <c r="B141" s="5"/>
      <c r="C141" s="4"/>
      <c r="D141" s="15" t="s">
        <v>127</v>
      </c>
      <c r="E141" s="32"/>
      <c r="F141" s="13">
        <f>45+45+45+45+45+45+45+45+45+45+45+45</f>
        <v>540</v>
      </c>
      <c r="G141" s="13" t="s">
        <v>110</v>
      </c>
      <c r="H141" s="33">
        <f>(3993.2+3993.2+3993.2+4083+4083+4083+4190+4190+4190+4321.6+4321.6+4321.6)/F141</f>
        <v>92.154444444444437</v>
      </c>
      <c r="I141" s="13">
        <f>F141*H141</f>
        <v>49763.399999999994</v>
      </c>
      <c r="J141" s="13" t="s">
        <v>118</v>
      </c>
      <c r="L141" s="2"/>
    </row>
    <row r="142" spans="1:12" ht="18.75" x14ac:dyDescent="0.25">
      <c r="A142" s="48"/>
      <c r="B142" s="22"/>
      <c r="C142" s="22"/>
      <c r="D142" s="30"/>
      <c r="E142" s="50"/>
      <c r="F142" s="51"/>
      <c r="G142" s="31"/>
      <c r="H142" s="31"/>
      <c r="I142" s="13">
        <f>SUM(I131:I141)</f>
        <v>62271.599999999991</v>
      </c>
      <c r="J142" s="13"/>
      <c r="L142" s="2"/>
    </row>
    <row r="143" spans="1:12" ht="18.75" x14ac:dyDescent="0.25">
      <c r="A143" s="74" t="s">
        <v>92</v>
      </c>
      <c r="B143" s="75"/>
      <c r="C143" s="75"/>
      <c r="D143" s="75"/>
      <c r="E143" s="75"/>
      <c r="F143" s="75"/>
      <c r="G143" s="76"/>
      <c r="H143" s="12"/>
      <c r="I143" s="5"/>
      <c r="J143" s="13"/>
      <c r="L143" s="2"/>
    </row>
    <row r="144" spans="1:12" ht="18.75" x14ac:dyDescent="0.25">
      <c r="A144" s="26"/>
      <c r="B144" s="27"/>
      <c r="C144" s="27"/>
      <c r="D144" s="36" t="s">
        <v>119</v>
      </c>
      <c r="E144" s="41"/>
      <c r="F144" s="41">
        <f>1+2</f>
        <v>3</v>
      </c>
      <c r="G144" s="38" t="s">
        <v>31</v>
      </c>
      <c r="H144" s="46">
        <f>(1211.6+2580.2)/F144</f>
        <v>1263.9333333333332</v>
      </c>
      <c r="I144" s="41">
        <f>F144*H144</f>
        <v>3791.7999999999993</v>
      </c>
      <c r="J144" s="13" t="s">
        <v>154</v>
      </c>
      <c r="L144" s="2"/>
    </row>
    <row r="145" spans="1:12" ht="63" x14ac:dyDescent="0.25">
      <c r="A145" s="9" t="s">
        <v>90</v>
      </c>
      <c r="B145" s="22"/>
      <c r="C145" s="22"/>
      <c r="D145" s="23" t="s">
        <v>121</v>
      </c>
      <c r="E145" s="37">
        <v>1036</v>
      </c>
      <c r="F145" s="13">
        <v>1036</v>
      </c>
      <c r="G145" s="31" t="s">
        <v>91</v>
      </c>
      <c r="H145" s="31">
        <v>4.8</v>
      </c>
      <c r="I145" s="13">
        <f>F145*H145*12</f>
        <v>59673.600000000006</v>
      </c>
      <c r="J145" s="13" t="s">
        <v>118</v>
      </c>
      <c r="L145" s="2"/>
    </row>
    <row r="146" spans="1:12" ht="18.75" x14ac:dyDescent="0.25">
      <c r="A146" s="48"/>
      <c r="B146" s="22"/>
      <c r="C146" s="22"/>
      <c r="D146" s="30"/>
      <c r="E146" s="50"/>
      <c r="F146" s="51"/>
      <c r="G146" s="31"/>
      <c r="H146" s="31"/>
      <c r="I146" s="33">
        <f>SUM(I144:I145)</f>
        <v>63465.400000000009</v>
      </c>
      <c r="J146" s="13"/>
      <c r="L146" s="2"/>
    </row>
    <row r="147" spans="1:12" ht="18.75" x14ac:dyDescent="0.3">
      <c r="A147" s="67" t="s">
        <v>80</v>
      </c>
      <c r="B147" s="68"/>
      <c r="C147" s="68"/>
      <c r="D147" s="68"/>
      <c r="E147" s="68"/>
      <c r="F147" s="68"/>
      <c r="G147" s="69"/>
      <c r="H147" s="19"/>
      <c r="I147" s="5"/>
      <c r="J147" s="13"/>
      <c r="L147" s="2"/>
    </row>
    <row r="148" spans="1:12" ht="46.5" customHeight="1" x14ac:dyDescent="0.3">
      <c r="A148" s="34" t="s">
        <v>135</v>
      </c>
      <c r="B148" s="24"/>
      <c r="C148" s="24"/>
      <c r="D148" s="35" t="s">
        <v>134</v>
      </c>
      <c r="E148" s="13">
        <v>306</v>
      </c>
      <c r="F148" s="13">
        <v>306</v>
      </c>
      <c r="G148" s="13" t="s">
        <v>142</v>
      </c>
      <c r="H148" s="13">
        <v>13</v>
      </c>
      <c r="I148" s="33">
        <f>F148*H148*3</f>
        <v>11934</v>
      </c>
      <c r="J148" s="13" t="s">
        <v>155</v>
      </c>
      <c r="L148" s="2"/>
    </row>
    <row r="149" spans="1:12" ht="18.75" x14ac:dyDescent="0.25">
      <c r="A149" s="9" t="s">
        <v>25</v>
      </c>
      <c r="B149" s="5"/>
      <c r="C149" s="4"/>
      <c r="D149" s="4" t="s">
        <v>76</v>
      </c>
      <c r="E149" s="41" t="s">
        <v>143</v>
      </c>
      <c r="F149" s="41" t="s">
        <v>143</v>
      </c>
      <c r="G149" s="14" t="s">
        <v>55</v>
      </c>
      <c r="H149" s="41" t="s">
        <v>143</v>
      </c>
      <c r="I149" s="46" t="s">
        <v>143</v>
      </c>
      <c r="J149" s="13"/>
      <c r="L149" s="2"/>
    </row>
    <row r="150" spans="1:12" ht="47.25" x14ac:dyDescent="0.25">
      <c r="A150" s="9" t="s">
        <v>26</v>
      </c>
      <c r="B150" s="5"/>
      <c r="C150" s="4"/>
      <c r="D150" s="15" t="s">
        <v>28</v>
      </c>
      <c r="E150" s="41" t="s">
        <v>143</v>
      </c>
      <c r="F150" s="41" t="s">
        <v>143</v>
      </c>
      <c r="G150" s="14" t="s">
        <v>55</v>
      </c>
      <c r="H150" s="41" t="s">
        <v>143</v>
      </c>
      <c r="I150" s="46" t="s">
        <v>143</v>
      </c>
      <c r="J150" s="13"/>
      <c r="L150" s="2"/>
    </row>
    <row r="151" spans="1:12" ht="31.5" x14ac:dyDescent="0.25">
      <c r="A151" s="9" t="s">
        <v>27</v>
      </c>
      <c r="B151" s="5"/>
      <c r="C151" s="4"/>
      <c r="D151" s="15" t="s">
        <v>75</v>
      </c>
      <c r="E151" s="41" t="s">
        <v>143</v>
      </c>
      <c r="F151" s="41" t="s">
        <v>143</v>
      </c>
      <c r="G151" s="14" t="s">
        <v>55</v>
      </c>
      <c r="H151" s="41" t="s">
        <v>143</v>
      </c>
      <c r="I151" s="46" t="s">
        <v>143</v>
      </c>
      <c r="J151" s="13"/>
      <c r="L151" s="2"/>
    </row>
    <row r="152" spans="1:12" ht="18.75" x14ac:dyDescent="0.25">
      <c r="A152" s="48"/>
      <c r="B152" s="22"/>
      <c r="C152" s="22"/>
      <c r="D152" s="30"/>
      <c r="E152" s="47"/>
      <c r="F152" s="47"/>
      <c r="G152" s="12"/>
      <c r="H152" s="61"/>
      <c r="I152" s="62">
        <f>SUM(I148:I151)</f>
        <v>11934</v>
      </c>
      <c r="J152" s="13"/>
      <c r="L152" s="2"/>
    </row>
    <row r="153" spans="1:12" ht="18.75" x14ac:dyDescent="0.3">
      <c r="A153" s="67" t="s">
        <v>85</v>
      </c>
      <c r="B153" s="68"/>
      <c r="C153" s="68"/>
      <c r="D153" s="68"/>
      <c r="E153" s="68"/>
      <c r="F153" s="68"/>
      <c r="G153" s="69"/>
      <c r="H153" s="25"/>
      <c r="I153" s="25"/>
      <c r="J153" s="25"/>
      <c r="K153" s="2"/>
      <c r="L153" s="2"/>
    </row>
    <row r="154" spans="1:12" ht="48" x14ac:dyDescent="0.3">
      <c r="A154" s="6" t="s">
        <v>67</v>
      </c>
      <c r="B154" s="6"/>
      <c r="C154" s="4"/>
      <c r="D154" s="15" t="s">
        <v>86</v>
      </c>
      <c r="E154" s="41" t="s">
        <v>143</v>
      </c>
      <c r="F154" s="41" t="s">
        <v>143</v>
      </c>
      <c r="G154" s="13" t="s">
        <v>30</v>
      </c>
      <c r="H154" s="41" t="s">
        <v>143</v>
      </c>
      <c r="I154" s="41" t="s">
        <v>143</v>
      </c>
      <c r="J154" s="5"/>
      <c r="L154" s="2"/>
    </row>
    <row r="155" spans="1:12" ht="18.75" x14ac:dyDescent="0.3">
      <c r="A155" s="6"/>
      <c r="B155" s="6"/>
      <c r="C155" s="5"/>
      <c r="D155" s="40" t="s">
        <v>237</v>
      </c>
      <c r="E155" s="41"/>
      <c r="F155" s="41">
        <f>1</f>
        <v>1</v>
      </c>
      <c r="G155" s="13" t="s">
        <v>31</v>
      </c>
      <c r="H155" s="46">
        <f>1585/F155</f>
        <v>1585</v>
      </c>
      <c r="I155" s="53">
        <f>F155*H155</f>
        <v>1585</v>
      </c>
      <c r="J155" s="13" t="s">
        <v>123</v>
      </c>
      <c r="L155" s="2"/>
    </row>
    <row r="156" spans="1:12" ht="32.25" x14ac:dyDescent="0.3">
      <c r="A156" s="6"/>
      <c r="B156" s="6"/>
      <c r="C156" s="5"/>
      <c r="D156" s="40" t="s">
        <v>111</v>
      </c>
      <c r="E156" s="41">
        <v>1</v>
      </c>
      <c r="F156" s="41">
        <v>1</v>
      </c>
      <c r="G156" s="13" t="s">
        <v>112</v>
      </c>
      <c r="H156" s="41">
        <v>24150</v>
      </c>
      <c r="I156" s="46">
        <f>F156*H156</f>
        <v>24150</v>
      </c>
      <c r="J156" s="39" t="s">
        <v>120</v>
      </c>
      <c r="L156" s="2"/>
    </row>
    <row r="157" spans="1:12" ht="18.75" x14ac:dyDescent="0.3">
      <c r="A157" s="28"/>
      <c r="B157" s="29"/>
      <c r="C157" s="22"/>
      <c r="D157" s="30"/>
      <c r="E157" s="47"/>
      <c r="F157" s="47"/>
      <c r="G157" s="31"/>
      <c r="H157" s="61"/>
      <c r="I157" s="62">
        <f>SUM(I155:I156)</f>
        <v>25735</v>
      </c>
      <c r="J157" s="39"/>
      <c r="L157" s="2"/>
    </row>
    <row r="158" spans="1:12" ht="18.75" x14ac:dyDescent="0.3">
      <c r="A158" s="67" t="s">
        <v>100</v>
      </c>
      <c r="B158" s="68"/>
      <c r="C158" s="68"/>
      <c r="D158" s="68"/>
      <c r="E158" s="68"/>
      <c r="F158" s="68"/>
      <c r="G158" s="69"/>
      <c r="H158" s="67"/>
      <c r="I158" s="68"/>
      <c r="J158" s="68"/>
      <c r="L158" s="2"/>
    </row>
    <row r="159" spans="1:12" ht="32.25" x14ac:dyDescent="0.3">
      <c r="A159" s="34" t="s">
        <v>153</v>
      </c>
      <c r="B159" s="24"/>
      <c r="C159" s="24"/>
      <c r="D159" s="40" t="s">
        <v>137</v>
      </c>
      <c r="E159" s="13"/>
      <c r="F159" s="13">
        <f>1</f>
        <v>1</v>
      </c>
      <c r="G159" s="13" t="s">
        <v>138</v>
      </c>
      <c r="H159" s="13">
        <v>800</v>
      </c>
      <c r="I159" s="55">
        <f t="shared" ref="I159:I162" si="6">F159*H159</f>
        <v>800</v>
      </c>
      <c r="J159" s="13" t="s">
        <v>126</v>
      </c>
      <c r="L159" s="2"/>
    </row>
    <row r="160" spans="1:12" ht="48" x14ac:dyDescent="0.3">
      <c r="A160" s="24"/>
      <c r="B160" s="24"/>
      <c r="C160" s="24"/>
      <c r="D160" s="40" t="s">
        <v>139</v>
      </c>
      <c r="E160" s="41"/>
      <c r="F160" s="41">
        <f>40</f>
        <v>40</v>
      </c>
      <c r="G160" s="13" t="s">
        <v>140</v>
      </c>
      <c r="H160" s="41">
        <v>650</v>
      </c>
      <c r="I160" s="54">
        <f>F160*H160</f>
        <v>26000</v>
      </c>
      <c r="J160" s="13" t="s">
        <v>126</v>
      </c>
      <c r="L160" s="2"/>
    </row>
    <row r="161" spans="1:12" ht="32.25" x14ac:dyDescent="0.3">
      <c r="A161" s="24"/>
      <c r="B161" s="24"/>
      <c r="C161" s="24"/>
      <c r="D161" s="40" t="s">
        <v>221</v>
      </c>
      <c r="E161" s="13"/>
      <c r="F161" s="13">
        <f>660</f>
        <v>660</v>
      </c>
      <c r="G161" s="13" t="s">
        <v>141</v>
      </c>
      <c r="H161" s="33">
        <f>31499/F161</f>
        <v>47.725757575757576</v>
      </c>
      <c r="I161" s="55">
        <f t="shared" si="6"/>
        <v>31499</v>
      </c>
      <c r="J161" s="13" t="s">
        <v>126</v>
      </c>
      <c r="L161" s="2"/>
    </row>
    <row r="162" spans="1:12" ht="32.25" x14ac:dyDescent="0.3">
      <c r="A162" s="24"/>
      <c r="B162" s="24"/>
      <c r="C162" s="24"/>
      <c r="D162" s="40" t="s">
        <v>222</v>
      </c>
      <c r="E162" s="13"/>
      <c r="F162" s="13">
        <f>30+90+90+210</f>
        <v>420</v>
      </c>
      <c r="G162" s="13" t="s">
        <v>141</v>
      </c>
      <c r="H162" s="33">
        <f>(41.67*210+210*33.33)/F162</f>
        <v>37.5</v>
      </c>
      <c r="I162" s="55">
        <f t="shared" si="6"/>
        <v>15750</v>
      </c>
      <c r="J162" s="13" t="s">
        <v>126</v>
      </c>
      <c r="L162" s="2"/>
    </row>
    <row r="163" spans="1:12" ht="18.75" x14ac:dyDescent="0.3">
      <c r="A163" s="24"/>
      <c r="B163" s="24"/>
      <c r="C163" s="24"/>
      <c r="D163" s="40" t="s">
        <v>204</v>
      </c>
      <c r="E163" s="13"/>
      <c r="F163" s="13"/>
      <c r="G163" s="13" t="s">
        <v>115</v>
      </c>
      <c r="H163" s="13"/>
      <c r="I163" s="13"/>
      <c r="J163" s="13"/>
      <c r="L163" s="2"/>
    </row>
    <row r="164" spans="1:12" ht="18.75" x14ac:dyDescent="0.3">
      <c r="A164" s="24"/>
      <c r="B164" s="24"/>
      <c r="C164" s="24"/>
      <c r="D164" s="40" t="s">
        <v>226</v>
      </c>
      <c r="E164" s="41"/>
      <c r="F164" s="41">
        <v>11</v>
      </c>
      <c r="G164" s="13" t="s">
        <v>115</v>
      </c>
      <c r="H164" s="41">
        <f>21082.6/F164</f>
        <v>1916.6</v>
      </c>
      <c r="I164" s="53">
        <f>F164*H164</f>
        <v>21082.6</v>
      </c>
      <c r="J164" s="13" t="s">
        <v>125</v>
      </c>
      <c r="L164" s="2"/>
    </row>
    <row r="165" spans="1:12" ht="18.75" x14ac:dyDescent="0.3">
      <c r="A165" s="24"/>
      <c r="B165" s="24"/>
      <c r="C165" s="24"/>
      <c r="D165" s="40" t="s">
        <v>198</v>
      </c>
      <c r="E165" s="41"/>
      <c r="F165" s="41"/>
      <c r="G165" s="13" t="s">
        <v>31</v>
      </c>
      <c r="H165" s="41" t="s">
        <v>143</v>
      </c>
      <c r="I165" s="41" t="s">
        <v>143</v>
      </c>
      <c r="J165" s="13"/>
      <c r="L165" s="2"/>
    </row>
    <row r="166" spans="1:12" ht="18.75" x14ac:dyDescent="0.3">
      <c r="A166" s="24"/>
      <c r="B166" s="24"/>
      <c r="C166" s="24"/>
      <c r="D166" s="40" t="s">
        <v>234</v>
      </c>
      <c r="E166" s="41"/>
      <c r="F166" s="41">
        <v>1</v>
      </c>
      <c r="G166" s="13" t="s">
        <v>31</v>
      </c>
      <c r="H166" s="41">
        <f>6200/F166</f>
        <v>6200</v>
      </c>
      <c r="I166" s="53">
        <f>F166*H166</f>
        <v>6200</v>
      </c>
      <c r="J166" s="13" t="s">
        <v>120</v>
      </c>
      <c r="L166" s="2"/>
    </row>
    <row r="167" spans="1:12" ht="18.75" x14ac:dyDescent="0.3">
      <c r="A167" s="34" t="s">
        <v>166</v>
      </c>
      <c r="B167" s="14"/>
      <c r="C167" s="14"/>
      <c r="D167" s="40" t="s">
        <v>203</v>
      </c>
      <c r="E167" s="41"/>
      <c r="F167" s="41"/>
      <c r="G167" s="13" t="s">
        <v>151</v>
      </c>
      <c r="H167" s="41" t="s">
        <v>143</v>
      </c>
      <c r="I167" s="41" t="s">
        <v>143</v>
      </c>
      <c r="J167" s="14"/>
      <c r="L167" s="2"/>
    </row>
    <row r="168" spans="1:12" ht="18.75" x14ac:dyDescent="0.3">
      <c r="A168" s="34"/>
      <c r="B168" s="14"/>
      <c r="C168" s="14"/>
      <c r="D168" s="43" t="s">
        <v>205</v>
      </c>
      <c r="E168" s="14"/>
      <c r="F168" s="14"/>
      <c r="G168" s="38" t="s">
        <v>31</v>
      </c>
      <c r="H168" s="14"/>
      <c r="I168" s="14"/>
      <c r="J168" s="14"/>
      <c r="L168" s="2"/>
    </row>
    <row r="169" spans="1:12" ht="18.75" x14ac:dyDescent="0.3">
      <c r="A169" s="34"/>
      <c r="B169" s="14"/>
      <c r="C169" s="14"/>
      <c r="D169" s="43"/>
      <c r="E169" s="14"/>
      <c r="F169" s="14"/>
      <c r="G169" s="38"/>
      <c r="H169" s="14"/>
      <c r="I169" s="56">
        <f>SUM(I159:I168)</f>
        <v>101331.6</v>
      </c>
      <c r="J169" s="14"/>
      <c r="L169" s="2"/>
    </row>
    <row r="170" spans="1:12" ht="18.75" x14ac:dyDescent="0.3">
      <c r="A170" s="60" t="s">
        <v>239</v>
      </c>
      <c r="B170" s="14"/>
      <c r="C170" s="14"/>
      <c r="D170" s="43"/>
      <c r="E170" s="14"/>
      <c r="F170" s="14"/>
      <c r="G170" s="38"/>
      <c r="H170" s="14"/>
      <c r="I170" s="59">
        <f>I5+I7+I19+I21+I22+I30+I39+I40+I45+I46+I52+I53+I63+I69+I74+I77+I78+I79+I96+I97+I111+I113+I115+I131+I155+I159+I160+I161+I162+I164+I166</f>
        <v>670237.60000000009</v>
      </c>
      <c r="J170" s="14"/>
      <c r="L170" s="2"/>
    </row>
    <row r="171" spans="1:12" ht="15.75" x14ac:dyDescent="0.25">
      <c r="A171" s="52" t="s">
        <v>219</v>
      </c>
      <c r="B171" s="25"/>
      <c r="C171" s="25"/>
      <c r="D171" s="43"/>
      <c r="E171" s="13"/>
      <c r="F171" s="13"/>
      <c r="G171" s="38"/>
      <c r="H171" s="13"/>
      <c r="I171" s="63">
        <f>I17+I37+I56+I84+I99+I117+I129+I142+I146+I152+I157+I169</f>
        <v>1251443.4000000001</v>
      </c>
      <c r="J171" s="14"/>
      <c r="K171" s="2"/>
      <c r="L171" s="2"/>
    </row>
    <row r="172" spans="1:12" ht="99.75" customHeight="1" x14ac:dyDescent="0.25">
      <c r="A172" s="64" t="s">
        <v>107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57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</sheetData>
  <mergeCells count="16">
    <mergeCell ref="A172:J172"/>
    <mergeCell ref="A2:J2"/>
    <mergeCell ref="A158:G158"/>
    <mergeCell ref="H158:J158"/>
    <mergeCell ref="I1:J1"/>
    <mergeCell ref="A100:G100"/>
    <mergeCell ref="A130:G130"/>
    <mergeCell ref="A153:G153"/>
    <mergeCell ref="A38:G38"/>
    <mergeCell ref="A18:G18"/>
    <mergeCell ref="A4:G4"/>
    <mergeCell ref="A143:G143"/>
    <mergeCell ref="A57:G57"/>
    <mergeCell ref="A85:G85"/>
    <mergeCell ref="A118:G118"/>
    <mergeCell ref="A147:G147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2024-03-06T11:10:52Z</dcterms:modified>
</cp:coreProperties>
</file>