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242" i="1" l="1"/>
  <c r="I240" i="1"/>
  <c r="I225" i="1"/>
  <c r="I213" i="1"/>
  <c r="I209" i="1"/>
  <c r="I192" i="1"/>
  <c r="I183" i="1"/>
  <c r="I157" i="1"/>
  <c r="I135" i="1"/>
  <c r="I99" i="1"/>
  <c r="I19" i="1"/>
  <c r="I236" i="1" l="1"/>
  <c r="I241" i="1"/>
  <c r="F228" i="1"/>
  <c r="H228" i="1"/>
  <c r="F229" i="1"/>
  <c r="H229" i="1"/>
  <c r="F230" i="1"/>
  <c r="H230" i="1"/>
  <c r="I46" i="1"/>
  <c r="H46" i="1"/>
  <c r="F46" i="1"/>
  <c r="H47" i="1"/>
  <c r="F47" i="1"/>
  <c r="I223" i="1"/>
  <c r="H223" i="1"/>
  <c r="F223" i="1"/>
  <c r="H222" i="1"/>
  <c r="F222" i="1"/>
  <c r="F137" i="1"/>
  <c r="H137" i="1" s="1"/>
  <c r="H159" i="1"/>
  <c r="F159" i="1"/>
  <c r="I159" i="1" s="1"/>
  <c r="H185" i="1"/>
  <c r="F185" i="1"/>
  <c r="H208" i="1"/>
  <c r="F208" i="1"/>
  <c r="H206" i="1"/>
  <c r="F206" i="1"/>
  <c r="H104" i="1"/>
  <c r="I8" i="1"/>
  <c r="H8" i="1"/>
  <c r="F8" i="1"/>
  <c r="I7" i="1"/>
  <c r="H7" i="1"/>
  <c r="F7" i="1"/>
  <c r="I89" i="1"/>
  <c r="H89" i="1"/>
  <c r="F89" i="1"/>
  <c r="I88" i="1"/>
  <c r="H88" i="1"/>
  <c r="F88" i="1"/>
  <c r="H10" i="1"/>
  <c r="F10" i="1"/>
  <c r="I9" i="1"/>
  <c r="H9" i="1"/>
  <c r="H54" i="1"/>
  <c r="F54" i="1"/>
  <c r="I91" i="1"/>
  <c r="H91" i="1"/>
  <c r="I10" i="1"/>
  <c r="I204" i="1"/>
  <c r="H204" i="1"/>
  <c r="F204" i="1"/>
  <c r="I199" i="1"/>
  <c r="H199" i="1"/>
  <c r="F199" i="1"/>
  <c r="H173" i="1"/>
  <c r="F173" i="1"/>
  <c r="I173" i="1" s="1"/>
  <c r="I172" i="1"/>
  <c r="H172" i="1"/>
  <c r="F172" i="1"/>
  <c r="I180" i="1"/>
  <c r="H180" i="1"/>
  <c r="F180" i="1"/>
  <c r="I176" i="1"/>
  <c r="H176" i="1"/>
  <c r="F176" i="1"/>
  <c r="H168" i="1"/>
  <c r="F168" i="1"/>
  <c r="H167" i="1"/>
  <c r="F167" i="1"/>
  <c r="H162" i="1"/>
  <c r="F162" i="1"/>
  <c r="H239" i="1"/>
  <c r="F236" i="1"/>
  <c r="H236" i="1" s="1"/>
  <c r="I137" i="1" l="1"/>
  <c r="F64" i="1"/>
  <c r="H64" i="1" s="1"/>
  <c r="F90" i="1"/>
  <c r="H90" i="1" s="1"/>
  <c r="F58" i="1"/>
  <c r="H58" i="1" s="1"/>
  <c r="F93" i="1"/>
  <c r="H93" i="1" s="1"/>
  <c r="F92" i="1"/>
  <c r="H92" i="1" s="1"/>
  <c r="F87" i="1"/>
  <c r="F134" i="1"/>
  <c r="H134" i="1" s="1"/>
  <c r="F112" i="1"/>
  <c r="H112" i="1" s="1"/>
  <c r="F126" i="1"/>
  <c r="H126" i="1" s="1"/>
  <c r="F116" i="1"/>
  <c r="H116" i="1" s="1"/>
  <c r="H87" i="1" l="1"/>
  <c r="I87" i="1" s="1"/>
  <c r="I90" i="1"/>
  <c r="I47" i="1"/>
  <c r="I112" i="1"/>
  <c r="I134" i="1"/>
  <c r="I92" i="1"/>
  <c r="I93" i="1"/>
  <c r="F237" i="1"/>
  <c r="H237" i="1" s="1"/>
  <c r="F239" i="1"/>
  <c r="F221" i="1"/>
  <c r="H221" i="1" s="1"/>
  <c r="F107" i="1"/>
  <c r="H107" i="1" s="1"/>
  <c r="F114" i="1"/>
  <c r="H114" i="1" s="1"/>
  <c r="F211" i="1"/>
  <c r="H211" i="1" s="1"/>
  <c r="I222" i="1" l="1"/>
  <c r="I221" i="1"/>
  <c r="I239" i="1"/>
  <c r="I237" i="1"/>
  <c r="H238" i="1"/>
  <c r="I238" i="1" s="1"/>
  <c r="F154" i="1"/>
  <c r="H154" i="1" s="1"/>
  <c r="F187" i="1"/>
  <c r="H187" i="1" s="1"/>
  <c r="I154" i="1" l="1"/>
  <c r="H234" i="1"/>
  <c r="I234" i="1" s="1"/>
  <c r="F52" i="1"/>
  <c r="H52" i="1" s="1"/>
  <c r="F55" i="1"/>
  <c r="H55" i="1" s="1"/>
  <c r="H106" i="1"/>
  <c r="H105" i="1"/>
  <c r="I52" i="1" l="1"/>
  <c r="H86" i="1"/>
  <c r="I86" i="1" s="1"/>
  <c r="F85" i="1"/>
  <c r="H232" i="1"/>
  <c r="F233" i="1"/>
  <c r="H233" i="1" s="1"/>
  <c r="F231" i="1"/>
  <c r="H231" i="1" s="1"/>
  <c r="H143" i="1"/>
  <c r="F142" i="1"/>
  <c r="H142" i="1" s="1"/>
  <c r="H141" i="1"/>
  <c r="I143" i="1"/>
  <c r="I141" i="1"/>
  <c r="F140" i="1"/>
  <c r="H147" i="1"/>
  <c r="I147" i="1" s="1"/>
  <c r="F148" i="1"/>
  <c r="H148" i="1" s="1"/>
  <c r="H140" i="1" l="1"/>
  <c r="I140" i="1" s="1"/>
  <c r="H85" i="1"/>
  <c r="I85" i="1" s="1"/>
  <c r="I148" i="1"/>
  <c r="I142" i="1"/>
  <c r="F227" i="1"/>
  <c r="F48" i="1"/>
  <c r="H48" i="1" s="1"/>
  <c r="F149" i="1"/>
  <c r="H149" i="1" s="1"/>
  <c r="I230" i="1" l="1"/>
  <c r="F34" i="1"/>
  <c r="H34" i="1" s="1"/>
  <c r="F139" i="1"/>
  <c r="H139" i="1" s="1"/>
  <c r="F155" i="1"/>
  <c r="H155" i="1" s="1"/>
  <c r="F65" i="1"/>
  <c r="H65" i="1" s="1"/>
  <c r="F186" i="1"/>
  <c r="H186" i="1" s="1"/>
  <c r="F104" i="1"/>
  <c r="I228" i="1"/>
  <c r="I227" i="1"/>
  <c r="I34" i="1" l="1"/>
  <c r="I186" i="1"/>
  <c r="I229" i="1"/>
  <c r="I48" i="1" l="1"/>
  <c r="I233" i="1"/>
  <c r="I232" i="1"/>
  <c r="I231" i="1"/>
  <c r="I55" i="1"/>
  <c r="I58" i="1"/>
  <c r="I168" i="1"/>
  <c r="I167" i="1"/>
  <c r="I155" i="1"/>
  <c r="I126" i="1"/>
  <c r="I187" i="1"/>
  <c r="I185" i="1"/>
  <c r="I224" i="1"/>
  <c r="I162" i="1" l="1"/>
  <c r="I114" i="1"/>
  <c r="I54" i="1" l="1"/>
  <c r="I65" i="1"/>
  <c r="I64" i="1"/>
  <c r="I149" i="1"/>
  <c r="I211" i="1"/>
  <c r="I104" i="1"/>
  <c r="I107" i="1"/>
  <c r="I106" i="1"/>
  <c r="I105" i="1"/>
  <c r="I41" i="1" l="1"/>
  <c r="I116" i="1"/>
  <c r="I139" i="1" l="1"/>
  <c r="I208" i="1" l="1"/>
  <c r="I206" i="1" l="1"/>
  <c r="I215" i="1" l="1"/>
  <c r="I219" i="1" s="1"/>
  <c r="I212" i="1"/>
</calcChain>
</file>

<file path=xl/sharedStrings.xml><?xml version="1.0" encoding="utf-8"?>
<sst xmlns="http://schemas.openxmlformats.org/spreadsheetml/2006/main" count="925" uniqueCount="307">
  <si>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</si>
  <si>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</si>
  <si>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</si>
  <si>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</si>
  <si>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</si>
  <si>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</si>
  <si>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</si>
  <si>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</si>
  <si>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</si>
  <si>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</si>
  <si>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</si>
  <si>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</si>
  <si>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</si>
  <si>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</si>
  <si>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</si>
  <si>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</si>
  <si>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</si>
  <si>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</si>
  <si>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</si>
  <si>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</si>
  <si>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</si>
  <si>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</si>
  <si>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</si>
  <si>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</si>
  <si>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</si>
  <si>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</si>
  <si>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</si>
  <si>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</si>
  <si>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</si>
  <si>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</si>
  <si>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</si>
  <si>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</si>
  <si>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</si>
  <si>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</si>
  <si>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</si>
  <si>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</si>
  <si>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</si>
  <si>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</si>
  <si>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</si>
  <si>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</si>
  <si>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</si>
  <si>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</si>
  <si>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</si>
  <si>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</si>
  <si>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</si>
  <si>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</si>
  <si>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</si>
  <si>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</si>
  <si>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</si>
  <si>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</si>
  <si>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</si>
  <si>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</si>
  <si>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</si>
  <si>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</si>
  <si>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</si>
  <si>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</si>
  <si>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</si>
  <si>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</si>
  <si>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</si>
  <si>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</si>
  <si>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</si>
  <si>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</si>
  <si>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</si>
  <si>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</si>
  <si>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</si>
  <si>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</si>
  <si>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</si>
  <si>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</si>
  <si>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</si>
  <si>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</si>
  <si>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</si>
  <si>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</si>
  <si>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</si>
  <si>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</si>
  <si>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</si>
  <si>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</si>
  <si>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</si>
  <si>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</si>
  <si>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</si>
  <si>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</si>
  <si>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</si>
  <si>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</si>
  <si>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</si>
  <si>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</si>
  <si>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</si>
  <si>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</si>
  <si>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</si>
  <si>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</si>
  <si>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</si>
  <si>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</si>
  <si>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</si>
  <si>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</si>
  <si>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</si>
  <si>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</si>
  <si>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</si>
  <si>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</si>
  <si>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</si>
  <si>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</si>
  <si>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</si>
  <si>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</si>
  <si>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</si>
  <si>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</si>
  <si>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</si>
  <si>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</si>
  <si>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</si>
  <si>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</si>
  <si>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</si>
  <si>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</si>
  <si>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</si>
  <si>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</si>
  <si>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</si>
  <si>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</si>
  <si>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</si>
  <si>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</si>
  <si>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</si>
  <si>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</si>
  <si>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</si>
  <si>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</si>
  <si>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</si>
  <si>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</si>
  <si>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</si>
  <si>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</si>
  <si>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</si>
  <si>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</si>
  <si>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</si>
  <si>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</si>
  <si>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</si>
  <si>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</si>
  <si>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</si>
  <si>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</si>
  <si>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</si>
  <si>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</si>
  <si>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</si>
  <si>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</si>
  <si>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</si>
  <si>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</si>
  <si>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</si>
  <si>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</si>
  <si>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</si>
  <si>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</si>
  <si>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</si>
  <si>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ремонт межпанельных швов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</si>
  <si>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</si>
  <si>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</si>
  <si>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</si>
  <si>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</si>
  <si>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смена внутренних трубопроводов из стальных труб диам. 20мм</t>
  </si>
  <si>
    <t>установка решеток на приямки</t>
  </si>
  <si>
    <t>кг</t>
  </si>
  <si>
    <t>м</t>
  </si>
  <si>
    <t>благоустройство</t>
  </si>
  <si>
    <t>ремонт групповых щитков на лестничной клетке со сменой автоматов</t>
  </si>
  <si>
    <t>установка контейнеров ТКО-0,4м3 с крышкой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</si>
  <si>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</si>
  <si>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</si>
  <si>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</si>
  <si>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</si>
  <si>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</si>
  <si>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</si>
  <si>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</si>
  <si>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прочистка фильтров диам. 80мм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</si>
  <si>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</si>
  <si>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</si>
  <si>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</si>
  <si>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</si>
  <si>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</si>
  <si>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</si>
  <si>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</si>
  <si>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</si>
  <si>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</si>
  <si>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</si>
  <si>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</si>
  <si>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</si>
  <si>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</si>
  <si>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</si>
  <si>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смена внутренних трубопроводов с заготовкой труб в построечных условиях диам. 50мм</t>
  </si>
  <si>
    <t>демонтаж элеваторов</t>
  </si>
  <si>
    <t>установка элеваторов после прочистки</t>
  </si>
  <si>
    <t xml:space="preserve"> смена кранов на шаровые краны диам.15,20,25мм</t>
  </si>
  <si>
    <t>смена внутренних трубопроводов с заготовкой труб в построечных условиях диам.  32мм</t>
  </si>
  <si>
    <t>смена задвижек диам. 100мм на шаровые краны</t>
  </si>
  <si>
    <t>смена водомера</t>
  </si>
  <si>
    <t>врезка в действующие сети трубопроводов отопления и водоснабжения диам. 25мм</t>
  </si>
  <si>
    <t>смена стекол толщиной 2-3 мм площадью до 1,0м2</t>
  </si>
  <si>
    <t>смена стекол толщиной 2-3 мм площадью до 0,5м2</t>
  </si>
  <si>
    <t>м шва</t>
  </si>
  <si>
    <t>1,2,3 квартал</t>
  </si>
  <si>
    <t>водоотлив из подвала ведрами</t>
  </si>
  <si>
    <t>водоотлив из подвала электрическим насосом</t>
  </si>
  <si>
    <t>разборка трубопроводов из водогазопроводных труб диам. до 100мм</t>
  </si>
  <si>
    <t>смена внутренних трубопроводов с заготовкой труб в построечных условиях диам.  20мм</t>
  </si>
  <si>
    <t>смена внутренних трубопроводов с заготовкой труб в построечных условиях диам. 100мм</t>
  </si>
  <si>
    <t>смена внутренних трубопроводов из стальных труб диам. 25мм</t>
  </si>
  <si>
    <t>врезка в действующие сети трубопроводов отопления и водоснабжения диам. 32мм</t>
  </si>
  <si>
    <t>демонтаж фильтров диам20мм</t>
  </si>
  <si>
    <t>установка  фильтров диам20мм</t>
  </si>
  <si>
    <t>прокладка внутренних трубопроводов водоснабжения и газоснабжения из стальных труб диам. 100мм</t>
  </si>
  <si>
    <t>изготовление элементов и сборка узлов стальных трубопроводов из стальных бесшовных труб диам.150мм</t>
  </si>
  <si>
    <t>смена керамогранитных плит до 3шт.</t>
  </si>
  <si>
    <t>демонтаж светильников</t>
  </si>
  <si>
    <t>смена выключателей</t>
  </si>
  <si>
    <t>установка грязевиков наружным диам. патрубков до 108мм после прочистки</t>
  </si>
  <si>
    <t>ремонт и окраска дверей (восстановление фурнитуры и остекления)ушки</t>
  </si>
  <si>
    <t>смена внутренних трубопроводов с заготовкой труб в построечных условиях диам. 80мм</t>
  </si>
  <si>
    <t>2,3,4 квартал</t>
  </si>
  <si>
    <t>смена внутренних трубопроводов из стальных труб диам. 50мм</t>
  </si>
  <si>
    <t>смена внутренних трубопроводов из стальных труб диам. 15мм</t>
  </si>
  <si>
    <t>установка насосов циркуляционных</t>
  </si>
  <si>
    <t>смена стекол толщиной 2-3 мм площадью до 0,25м2</t>
  </si>
  <si>
    <t>ремонт и восстановление уплотнения стыков прокладками ПРП в 1 ряд в дверных блоках насухо</t>
  </si>
  <si>
    <t>смена дверных приборов:крючок накидной</t>
  </si>
  <si>
    <t>смена дверных приборов:петли</t>
  </si>
  <si>
    <t>смена дверных приборов:ручки</t>
  </si>
  <si>
    <t>ремонт дверных полотен со сменой брусков обвязки горизонтальных на сопряжения нижних</t>
  </si>
  <si>
    <t>бруска</t>
  </si>
  <si>
    <t>смена сгонов у трубопроводов диам. 20мм</t>
  </si>
  <si>
    <t>установка регистров из стальных сварных труб диам. нитки 80мм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</si>
  <si>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</si>
  <si>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установка фланцевых соединений на стальных трубопроводах диам. 80мм</t>
  </si>
  <si>
    <t>соед</t>
  </si>
  <si>
    <t>установка фланцевых соединений на стальных трубопроводах диам. 100мм</t>
  </si>
  <si>
    <t>изготовление элементов и сборка узлов стальных трубопроводов из стальных бесшовных труб диам.100мм</t>
  </si>
  <si>
    <t>улучшенная масляная окраска ранее окрашенных стен за 2 раза с расчисткой старой краски до 10%(сапожок)</t>
  </si>
  <si>
    <t>окраска масляными составами ранее окрашенных больших металлических поверхностей(кроме крыш) за 2 раза</t>
  </si>
  <si>
    <t>ремонт штукатурки внутренних стен по камню раствором площадью отдельных мест до 1м2 толщиной слоя до 20мм</t>
  </si>
  <si>
    <t>ремонт штукатурки откосов внутри здания по камню и бетону раствором прямолинейных</t>
  </si>
  <si>
    <t>ремонт штукатурки лестничных маршей и площадок</t>
  </si>
  <si>
    <t>установка и крепление наличников</t>
  </si>
  <si>
    <t>окраска масляными составами ранее окрашенных больших металлических поверхностей(кроме крыш) за 2 раза(портал лифта)</t>
  </si>
  <si>
    <t>расчистка поверхностей шпателем,щетками от старых покрасок стен</t>
  </si>
  <si>
    <t>расчистка поверхностей шпателем,щетками от старых покрасок потолков</t>
  </si>
  <si>
    <t>окраска водно-дисперсионными акриловыми составами улучшенная по штукатурке потолков</t>
  </si>
  <si>
    <t>окраска масляными составами ранее окрашенных металлических санитарно-технических приборов и других металлических поверхностей площадью до 0,25м2 за 2 раза(электические щитки)</t>
  </si>
  <si>
    <t>окраска масляными составами ранее окрашенных поверхностей труб стальных за 2 раза</t>
  </si>
  <si>
    <t>демонтаж почтовых ящиков</t>
  </si>
  <si>
    <t>установка ящиков почтовых стальных,окрашенных эмалью с крепление к стенам лестничных клеток</t>
  </si>
  <si>
    <t>короба пластмассовые шириной до 40мм</t>
  </si>
  <si>
    <t>окраска масляными составами ранее окрашенных металлических поверхностей радиаторов стальных за 2 раза</t>
  </si>
  <si>
    <t>установка розеток</t>
  </si>
  <si>
    <t>смена ламп накаливания</t>
  </si>
  <si>
    <t xml:space="preserve"> смена кранов на шаровые краны диам.15,20,25,32мм</t>
  </si>
  <si>
    <t>смена задвижек диам. 50мм на шаровые краны</t>
  </si>
  <si>
    <t>смена внутренних трубопроводов из стальных труб диам. 32мм</t>
  </si>
  <si>
    <t>разборка трубопроводов из водогазопроводных труб диам. до 63мм</t>
  </si>
  <si>
    <t>ремонт и восстановление герметизации коробок монтажной пеной</t>
  </si>
  <si>
    <t>улучшенная окраска масляными составами по дереву заполнений дверных проемов</t>
  </si>
  <si>
    <t>ремонт оконных переплетов с заменой брусков из профилированных заготовок</t>
  </si>
  <si>
    <t>ремонт и окраска окон (восстановление фурнитуры и остекления) фрамужные приборы</t>
  </si>
  <si>
    <t>укрепление коробок без конопатки</t>
  </si>
  <si>
    <t>простая масляная окраска скамейки</t>
  </si>
  <si>
    <t>устройство покрытий из тротуарной плитки</t>
  </si>
  <si>
    <t>устройство козырьков</t>
  </si>
  <si>
    <t>ремонт бетонных ступеней</t>
  </si>
  <si>
    <t xml:space="preserve">окраска водно-дисперсионными акриловыми составами улучшенная по штукатурке стен </t>
  </si>
  <si>
    <t>улучшенная масляная окраска ранее окрашенных окон за 1 раз с расчисткой старой краски до 10%</t>
  </si>
  <si>
    <t>короба пластмассовые шириной до 63мм</t>
  </si>
  <si>
    <t>короба пластмассовые шириной до 120мм</t>
  </si>
  <si>
    <t xml:space="preserve">смена светильников со светодиодными лампами </t>
  </si>
  <si>
    <t>улучшенная масляная окраска ранее окрашенных окон за 2 раза с расчисткой старой краски до 35%</t>
  </si>
  <si>
    <t>улучшенная масляная окраска ранее окрашенных стен за 2 раза с расчисткой старой краски до 35%</t>
  </si>
  <si>
    <t>1 заплата</t>
  </si>
  <si>
    <t>выемка  стекол</t>
  </si>
  <si>
    <t>замена стекол поликарбонатом</t>
  </si>
  <si>
    <t>установка дверного блока</t>
  </si>
  <si>
    <t>обивка дверей кровельной сталью:взакрой</t>
  </si>
  <si>
    <t>Всего</t>
  </si>
  <si>
    <t xml:space="preserve">
Отчет о выполнении работ по текущему ремонту общего имущества 
в многоквартирном доме по адресу: г.Щёлково, ул.Заречная , дом 4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</si>
  <si>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</si>
  <si>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</si>
  <si>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смена трубопроводов из полиэтиленовых канализационных труб диам. 100мм</t>
  </si>
  <si>
    <t>1 квартал</t>
  </si>
  <si>
    <t>изготовление демонтаж и монтаж металлических дверей</t>
  </si>
  <si>
    <t>прокладка внутренних трубопроводов водоснабжения и отопления из полипропиленовых труб:диам. 20мм</t>
  </si>
  <si>
    <t>простая масляная окраска ранее окрашенных стен без подготовки с расчисткой старой краски до 10%</t>
  </si>
  <si>
    <t>смена внутренних трубопроводов из стальных труб диам. 80мм</t>
  </si>
  <si>
    <t>1  квартал</t>
  </si>
  <si>
    <t xml:space="preserve">смена досок на скамейках </t>
  </si>
  <si>
    <t>ремонт металлических ограждений мелкий</t>
  </si>
  <si>
    <t>устройство металлических ограждений с поручнями из поливинилхлорида</t>
  </si>
  <si>
    <t>устройство металлических ограждений без поручня</t>
  </si>
  <si>
    <t>установка дверного доводчика</t>
  </si>
  <si>
    <t>укрепление молниеотвода у 5 подъезда</t>
  </si>
  <si>
    <t>справка о техническом состоянии здания</t>
  </si>
  <si>
    <t>устройство металлических пешеходных ограждений</t>
  </si>
  <si>
    <t>окраска масляными составами ранее окрашенных поверхностей труб стальных за 1 раз</t>
  </si>
  <si>
    <t>установка шайб диаметром трубопроводов до 100мм</t>
  </si>
  <si>
    <t>установка столбов металлических</t>
  </si>
  <si>
    <t>смена филенок в дверных полотнах</t>
  </si>
  <si>
    <t>прочистка фильтров диам. 150мм</t>
  </si>
  <si>
    <t>демонтаж,поверка, монтаж ОДПУ</t>
  </si>
  <si>
    <t>компл</t>
  </si>
  <si>
    <t>демонтаж приемного клапана мусоропровода</t>
  </si>
  <si>
    <t>монтаж приемного клапана мусоропровода</t>
  </si>
  <si>
    <t xml:space="preserve">устройство временных защитных ограждений </t>
  </si>
  <si>
    <t xml:space="preserve"> </t>
  </si>
  <si>
    <t>прокладка внутренних трубопроводов водоснабжения и отопления из полипропиленовых труб:диам. 32мм</t>
  </si>
  <si>
    <t xml:space="preserve"> смена вентилей диам. 20 мм</t>
  </si>
  <si>
    <t>выполнение работ по ремонту кровельного покрытия примыкания к шахте лифта 2 слоя</t>
  </si>
  <si>
    <t>ремонт кровельного покрытия козырька кв 150</t>
  </si>
  <si>
    <t>устройство цементных стяжек</t>
  </si>
  <si>
    <t>устройство покрытий из керамогранитных плиток размером 30х30см</t>
  </si>
  <si>
    <t>устройство покрытия кровли и примыканий в один слой</t>
  </si>
  <si>
    <t>смена существующих рулонных кровель на покрытия из наплавляемых рулонных материалов в один слой</t>
  </si>
  <si>
    <t>замена гибкой подводки кв 181,108,153</t>
  </si>
  <si>
    <t>замена крана шарового  кв 153</t>
  </si>
  <si>
    <t>смена дверных приборов:шпингалеты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</si>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</sst>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1" fillId="0" borderId="0" xfId="0" applyNumberFormat="1" applyFont="1"/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9"/>
  <sheetViews>
    <sheetView tabSelected="1" topLeftCell="A241" zoomScale="91" zoomScaleNormal="91" workbookViewId="0">
      <selection activeCell="G245" sqref="G245:I255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68" t="s">
        <v>97</v>
      </c>
      <c r="J1" s="68"/>
    </row>
    <row r="2" spans="1:12" ht="70.5" customHeight="1" x14ac:dyDescent="0.25">
      <c r="A2" s="63" t="s">
        <v>266</v>
      </c>
      <c r="B2" s="64"/>
      <c r="C2" s="64"/>
      <c r="D2" s="64"/>
      <c r="E2" s="64"/>
      <c r="F2" s="64"/>
      <c r="G2" s="64"/>
      <c r="H2" s="64"/>
      <c r="I2" s="64"/>
      <c r="J2" s="64"/>
      <c r="K2" s="2"/>
      <c r="L2" s="2"/>
    </row>
    <row r="3" spans="1:12" ht="75" x14ac:dyDescent="0.25">
      <c r="A3" s="20" t="s">
        <v>83</v>
      </c>
      <c r="B3" s="3"/>
      <c r="C3" s="3"/>
      <c r="D3" s="20" t="s">
        <v>100</v>
      </c>
      <c r="E3" s="20" t="s">
        <v>104</v>
      </c>
      <c r="F3" s="21" t="s">
        <v>102</v>
      </c>
      <c r="G3" s="21" t="s">
        <v>82</v>
      </c>
      <c r="H3" s="21" t="s">
        <v>81</v>
      </c>
      <c r="I3" s="21" t="s">
        <v>101</v>
      </c>
      <c r="J3" s="21" t="s">
        <v>103</v>
      </c>
      <c r="K3" s="2"/>
      <c r="L3" s="2"/>
    </row>
    <row r="4" spans="1:12" ht="18.75" x14ac:dyDescent="0.3">
      <c r="A4" s="69" t="s">
        <v>89</v>
      </c>
      <c r="B4" s="70"/>
      <c r="C4" s="70"/>
      <c r="D4" s="70"/>
      <c r="E4" s="70"/>
      <c r="F4" s="70"/>
      <c r="G4" s="71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123</v>
      </c>
      <c r="E5" s="41"/>
      <c r="F5" s="41"/>
      <c r="G5" s="13" t="s">
        <v>113</v>
      </c>
      <c r="H5" s="56"/>
      <c r="I5" s="41"/>
      <c r="J5" s="13"/>
      <c r="K5" s="2"/>
      <c r="L5" s="2"/>
    </row>
    <row r="6" spans="1:12" ht="18.75" x14ac:dyDescent="0.3">
      <c r="A6" s="6"/>
      <c r="B6" s="5"/>
      <c r="C6" s="4"/>
      <c r="D6" s="15" t="s">
        <v>120</v>
      </c>
      <c r="E6" s="41"/>
      <c r="F6" s="41"/>
      <c r="G6" s="13" t="s">
        <v>113</v>
      </c>
      <c r="H6" s="41"/>
      <c r="I6" s="41"/>
      <c r="J6" s="13"/>
      <c r="K6" s="2"/>
      <c r="L6" s="2"/>
    </row>
    <row r="7" spans="1:12" ht="32.25" x14ac:dyDescent="0.3">
      <c r="A7" s="6"/>
      <c r="B7" s="5"/>
      <c r="C7" s="4"/>
      <c r="D7" s="15" t="s">
        <v>301</v>
      </c>
      <c r="E7" s="41"/>
      <c r="F7" s="41">
        <f>3</f>
        <v>3</v>
      </c>
      <c r="G7" s="13" t="s">
        <v>113</v>
      </c>
      <c r="H7" s="44">
        <f>1791.2/F7</f>
        <v>597.06666666666672</v>
      </c>
      <c r="I7" s="55">
        <f>F7*H7</f>
        <v>1791.2000000000003</v>
      </c>
      <c r="J7" s="13" t="s">
        <v>121</v>
      </c>
      <c r="K7" s="2"/>
      <c r="L7" s="2"/>
    </row>
    <row r="8" spans="1:12" ht="48" x14ac:dyDescent="0.3">
      <c r="A8" s="6"/>
      <c r="B8" s="5"/>
      <c r="C8" s="4"/>
      <c r="D8" s="15" t="s">
        <v>302</v>
      </c>
      <c r="E8" s="41"/>
      <c r="F8" s="41">
        <f>37.5</f>
        <v>37.5</v>
      </c>
      <c r="G8" s="13" t="s">
        <v>113</v>
      </c>
      <c r="H8" s="44">
        <f>31794.2/F8</f>
        <v>847.84533333333331</v>
      </c>
      <c r="I8" s="55">
        <f>F8*H8</f>
        <v>31794.2</v>
      </c>
      <c r="J8" s="13" t="s">
        <v>121</v>
      </c>
      <c r="K8" s="2"/>
      <c r="L8" s="2"/>
    </row>
    <row r="9" spans="1:12" ht="18.75" x14ac:dyDescent="0.3">
      <c r="A9" s="6"/>
      <c r="B9" s="5"/>
      <c r="C9" s="4"/>
      <c r="D9" s="15" t="s">
        <v>298</v>
      </c>
      <c r="E9" s="41"/>
      <c r="F9" s="41">
        <v>1</v>
      </c>
      <c r="G9" s="13" t="s">
        <v>145</v>
      </c>
      <c r="H9" s="41">
        <f>10475.2/F9</f>
        <v>10475.200000000001</v>
      </c>
      <c r="I9" s="55">
        <f>F9*H9</f>
        <v>10475.200000000001</v>
      </c>
      <c r="J9" s="13" t="s">
        <v>121</v>
      </c>
      <c r="K9" s="2"/>
      <c r="L9" s="2"/>
    </row>
    <row r="10" spans="1:12" ht="32.25" x14ac:dyDescent="0.3">
      <c r="A10" s="6"/>
      <c r="B10" s="5"/>
      <c r="C10" s="4"/>
      <c r="D10" s="15" t="s">
        <v>297</v>
      </c>
      <c r="E10" s="41"/>
      <c r="F10" s="41">
        <f>7.5+7.5</f>
        <v>15</v>
      </c>
      <c r="G10" s="13" t="s">
        <v>113</v>
      </c>
      <c r="H10" s="41">
        <f>(15934.2+14326.2)/F10</f>
        <v>2017.3600000000001</v>
      </c>
      <c r="I10" s="55">
        <f>F10*H10</f>
        <v>30260.400000000001</v>
      </c>
      <c r="J10" s="13" t="s">
        <v>121</v>
      </c>
      <c r="K10" s="2"/>
      <c r="L10" s="2"/>
    </row>
    <row r="11" spans="1:12" ht="35.25" customHeight="1" x14ac:dyDescent="0.3">
      <c r="A11" s="6" t="s">
        <v>1</v>
      </c>
      <c r="B11" s="5"/>
      <c r="C11" s="4"/>
      <c r="D11" s="15" t="s">
        <v>157</v>
      </c>
      <c r="E11" s="41" t="s">
        <v>140</v>
      </c>
      <c r="F11" s="41" t="s">
        <v>140</v>
      </c>
      <c r="G11" s="13" t="s">
        <v>30</v>
      </c>
      <c r="H11" s="41" t="s">
        <v>140</v>
      </c>
      <c r="I11" s="41" t="s">
        <v>140</v>
      </c>
      <c r="J11" s="13"/>
      <c r="K11" s="2"/>
      <c r="L11" s="2"/>
    </row>
    <row r="12" spans="1:12" ht="28.5" customHeight="1" x14ac:dyDescent="0.3">
      <c r="A12" s="6" t="s">
        <v>2</v>
      </c>
      <c r="B12" s="5"/>
      <c r="C12" s="4"/>
      <c r="D12" s="15" t="s">
        <v>39</v>
      </c>
      <c r="E12" s="41" t="s">
        <v>140</v>
      </c>
      <c r="F12" s="41" t="s">
        <v>140</v>
      </c>
      <c r="G12" s="13" t="s">
        <v>30</v>
      </c>
      <c r="H12" s="41" t="s">
        <v>140</v>
      </c>
      <c r="I12" s="41" t="s">
        <v>140</v>
      </c>
      <c r="J12" s="13"/>
      <c r="K12" s="2"/>
      <c r="L12" s="2"/>
    </row>
    <row r="13" spans="1:12" ht="18.75" x14ac:dyDescent="0.3">
      <c r="A13" s="7" t="s">
        <v>3</v>
      </c>
      <c r="B13" s="5"/>
      <c r="C13" s="4"/>
      <c r="D13" s="15" t="s">
        <v>38</v>
      </c>
      <c r="E13" s="41"/>
      <c r="F13" s="41"/>
      <c r="G13" s="13" t="s">
        <v>260</v>
      </c>
      <c r="H13" s="41"/>
      <c r="I13" s="41"/>
      <c r="J13" s="13"/>
      <c r="K13" s="2"/>
      <c r="L13" s="2"/>
    </row>
    <row r="14" spans="1:12" ht="32.25" x14ac:dyDescent="0.3">
      <c r="A14" s="6" t="s">
        <v>4</v>
      </c>
      <c r="B14" s="5"/>
      <c r="C14" s="4"/>
      <c r="D14" s="15" t="s">
        <v>37</v>
      </c>
      <c r="E14" s="41" t="s">
        <v>140</v>
      </c>
      <c r="F14" s="41" t="s">
        <v>140</v>
      </c>
      <c r="G14" s="13" t="s">
        <v>30</v>
      </c>
      <c r="H14" s="41" t="s">
        <v>140</v>
      </c>
      <c r="I14" s="41" t="s">
        <v>140</v>
      </c>
      <c r="J14" s="13"/>
      <c r="K14" s="2"/>
      <c r="L14" s="2"/>
    </row>
    <row r="15" spans="1:12" ht="18.75" x14ac:dyDescent="0.3">
      <c r="A15" s="6" t="s">
        <v>5</v>
      </c>
      <c r="B15" s="5"/>
      <c r="C15" s="4"/>
      <c r="D15" s="4" t="s">
        <v>88</v>
      </c>
      <c r="E15" s="41" t="s">
        <v>140</v>
      </c>
      <c r="F15" s="41" t="s">
        <v>140</v>
      </c>
      <c r="G15" s="13" t="s">
        <v>31</v>
      </c>
      <c r="H15" s="41" t="s">
        <v>140</v>
      </c>
      <c r="I15" s="41" t="s">
        <v>140</v>
      </c>
      <c r="J15" s="13"/>
      <c r="K15" s="2"/>
      <c r="L15" s="2"/>
    </row>
    <row r="16" spans="1:12" ht="37.5" x14ac:dyDescent="0.3">
      <c r="A16" s="6" t="s">
        <v>6</v>
      </c>
      <c r="B16" s="5"/>
      <c r="C16" s="4"/>
      <c r="D16" s="4" t="s">
        <v>36</v>
      </c>
      <c r="E16" s="41" t="s">
        <v>140</v>
      </c>
      <c r="F16" s="41" t="s">
        <v>140</v>
      </c>
      <c r="G16" s="14" t="s">
        <v>31</v>
      </c>
      <c r="H16" s="41" t="s">
        <v>140</v>
      </c>
      <c r="I16" s="41" t="s">
        <v>140</v>
      </c>
      <c r="J16" s="13"/>
      <c r="K16" s="2"/>
      <c r="L16" s="2"/>
    </row>
    <row r="17" spans="1:12" ht="32.25" x14ac:dyDescent="0.3">
      <c r="A17" s="6" t="s">
        <v>64</v>
      </c>
      <c r="B17" s="5"/>
      <c r="C17" s="4"/>
      <c r="D17" s="15" t="s">
        <v>53</v>
      </c>
      <c r="E17" s="41" t="s">
        <v>140</v>
      </c>
      <c r="F17" s="41" t="s">
        <v>140</v>
      </c>
      <c r="G17" s="13" t="s">
        <v>30</v>
      </c>
      <c r="H17" s="41" t="s">
        <v>140</v>
      </c>
      <c r="I17" s="41" t="s">
        <v>140</v>
      </c>
      <c r="J17" s="13"/>
      <c r="L17" s="2"/>
    </row>
    <row r="18" spans="1:12" ht="27" customHeight="1" x14ac:dyDescent="0.3">
      <c r="A18" s="6" t="s">
        <v>7</v>
      </c>
      <c r="B18" s="5"/>
      <c r="C18" s="4"/>
      <c r="D18" s="15" t="s">
        <v>34</v>
      </c>
      <c r="E18" s="41" t="s">
        <v>140</v>
      </c>
      <c r="F18" s="41" t="s">
        <v>140</v>
      </c>
      <c r="G18" s="13" t="s">
        <v>30</v>
      </c>
      <c r="H18" s="41" t="s">
        <v>140</v>
      </c>
      <c r="I18" s="41" t="s">
        <v>140</v>
      </c>
      <c r="J18" s="13"/>
      <c r="K18" s="2"/>
      <c r="L18" s="2"/>
    </row>
    <row r="19" spans="1:12" ht="27" customHeight="1" x14ac:dyDescent="0.3">
      <c r="A19" s="28"/>
      <c r="B19" s="22"/>
      <c r="C19" s="22"/>
      <c r="D19" s="30"/>
      <c r="E19" s="45"/>
      <c r="F19" s="45"/>
      <c r="G19" s="31"/>
      <c r="H19" s="41"/>
      <c r="I19" s="44">
        <f>SUM(I5:I18)</f>
        <v>74321</v>
      </c>
      <c r="J19" s="13"/>
      <c r="K19" s="2"/>
      <c r="L19" s="2"/>
    </row>
    <row r="20" spans="1:12" ht="18.75" x14ac:dyDescent="0.3">
      <c r="A20" s="69" t="s">
        <v>57</v>
      </c>
      <c r="B20" s="70"/>
      <c r="C20" s="70"/>
      <c r="D20" s="70"/>
      <c r="E20" s="70"/>
      <c r="F20" s="70"/>
      <c r="G20" s="71"/>
      <c r="H20" s="14"/>
      <c r="I20" s="5"/>
      <c r="J20" s="13"/>
      <c r="L20" s="2"/>
    </row>
    <row r="21" spans="1:12" ht="18.75" x14ac:dyDescent="0.3">
      <c r="A21" s="6" t="s">
        <v>19</v>
      </c>
      <c r="B21" s="5"/>
      <c r="C21" s="4"/>
      <c r="D21" s="4" t="s">
        <v>96</v>
      </c>
      <c r="E21" s="41" t="s">
        <v>140</v>
      </c>
      <c r="F21" s="41" t="s">
        <v>140</v>
      </c>
      <c r="G21" s="14" t="s">
        <v>55</v>
      </c>
      <c r="H21" s="41" t="s">
        <v>140</v>
      </c>
      <c r="I21" s="41" t="s">
        <v>140</v>
      </c>
      <c r="J21" s="13"/>
      <c r="L21" s="2"/>
    </row>
    <row r="22" spans="1:12" ht="18.75" x14ac:dyDescent="0.3">
      <c r="A22" s="6" t="s">
        <v>13</v>
      </c>
      <c r="B22" s="5"/>
      <c r="C22" s="4"/>
      <c r="D22" s="4" t="s">
        <v>42</v>
      </c>
      <c r="E22" s="41" t="s">
        <v>140</v>
      </c>
      <c r="F22" s="41" t="s">
        <v>140</v>
      </c>
      <c r="G22" s="14" t="s">
        <v>54</v>
      </c>
      <c r="H22" s="41" t="s">
        <v>140</v>
      </c>
      <c r="I22" s="41" t="s">
        <v>140</v>
      </c>
      <c r="J22" s="13"/>
      <c r="L22" s="2"/>
    </row>
    <row r="23" spans="1:12" ht="18.75" x14ac:dyDescent="0.3">
      <c r="A23" s="6" t="s">
        <v>9</v>
      </c>
      <c r="B23" s="5"/>
      <c r="C23" s="4"/>
      <c r="D23" s="4" t="s">
        <v>35</v>
      </c>
      <c r="E23" s="41" t="s">
        <v>140</v>
      </c>
      <c r="F23" s="41" t="s">
        <v>140</v>
      </c>
      <c r="G23" s="14" t="s">
        <v>54</v>
      </c>
      <c r="H23" s="41" t="s">
        <v>140</v>
      </c>
      <c r="I23" s="41" t="s">
        <v>140</v>
      </c>
      <c r="J23" s="13"/>
      <c r="K23" s="2"/>
      <c r="L23" s="2"/>
    </row>
    <row r="24" spans="1:12" ht="32.25" x14ac:dyDescent="0.3">
      <c r="A24" s="6"/>
      <c r="B24" s="5"/>
      <c r="C24" s="4"/>
      <c r="D24" s="15" t="s">
        <v>167</v>
      </c>
      <c r="E24" s="41" t="s">
        <v>140</v>
      </c>
      <c r="F24" s="41" t="s">
        <v>140</v>
      </c>
      <c r="G24" s="14" t="s">
        <v>91</v>
      </c>
      <c r="H24" s="41" t="s">
        <v>140</v>
      </c>
      <c r="I24" s="41" t="s">
        <v>140</v>
      </c>
      <c r="J24" s="13"/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1" t="s">
        <v>140</v>
      </c>
      <c r="F25" s="41" t="s">
        <v>140</v>
      </c>
      <c r="G25" s="14" t="s">
        <v>54</v>
      </c>
      <c r="H25" s="41" t="s">
        <v>140</v>
      </c>
      <c r="I25" s="41" t="s">
        <v>140</v>
      </c>
      <c r="J25" s="13"/>
      <c r="K25" s="2"/>
      <c r="L25" s="2"/>
    </row>
    <row r="26" spans="1:12" ht="18.75" x14ac:dyDescent="0.3">
      <c r="A26" s="6" t="s">
        <v>11</v>
      </c>
      <c r="B26" s="5"/>
      <c r="C26" s="4"/>
      <c r="D26" s="4" t="s">
        <v>40</v>
      </c>
      <c r="E26" s="41" t="s">
        <v>140</v>
      </c>
      <c r="F26" s="41" t="s">
        <v>140</v>
      </c>
      <c r="G26" s="14" t="s">
        <v>54</v>
      </c>
      <c r="H26" s="41" t="s">
        <v>140</v>
      </c>
      <c r="I26" s="41" t="s">
        <v>140</v>
      </c>
      <c r="J26" s="13"/>
      <c r="K26" s="2"/>
      <c r="L26" s="2"/>
    </row>
    <row r="27" spans="1:12" ht="18.75" x14ac:dyDescent="0.3">
      <c r="A27" s="6"/>
      <c r="B27" s="5"/>
      <c r="C27" s="4"/>
      <c r="D27" s="4" t="s">
        <v>147</v>
      </c>
      <c r="E27" s="41" t="s">
        <v>140</v>
      </c>
      <c r="F27" s="41" t="s">
        <v>140</v>
      </c>
      <c r="G27" s="14" t="s">
        <v>148</v>
      </c>
      <c r="H27" s="41" t="s">
        <v>140</v>
      </c>
      <c r="I27" s="41" t="s">
        <v>140</v>
      </c>
      <c r="J27" s="13"/>
      <c r="K27" s="2"/>
      <c r="L27" s="2"/>
    </row>
    <row r="28" spans="1:12" ht="18.75" x14ac:dyDescent="0.3">
      <c r="A28" s="6" t="s">
        <v>8</v>
      </c>
      <c r="B28" s="5"/>
      <c r="C28" s="4"/>
      <c r="D28" s="4" t="s">
        <v>32</v>
      </c>
      <c r="E28" s="41" t="s">
        <v>140</v>
      </c>
      <c r="F28" s="41" t="s">
        <v>140</v>
      </c>
      <c r="G28" s="13" t="s">
        <v>30</v>
      </c>
      <c r="H28" s="41" t="s">
        <v>140</v>
      </c>
      <c r="I28" s="41" t="s">
        <v>140</v>
      </c>
      <c r="J28" s="13"/>
      <c r="K28" s="2"/>
      <c r="L28" s="2"/>
    </row>
    <row r="29" spans="1:12" ht="24.75" customHeight="1" x14ac:dyDescent="0.3">
      <c r="A29" s="6" t="s">
        <v>12</v>
      </c>
      <c r="B29" s="5"/>
      <c r="C29" s="4"/>
      <c r="D29" s="15" t="s">
        <v>41</v>
      </c>
      <c r="E29" s="41" t="s">
        <v>140</v>
      </c>
      <c r="F29" s="41" t="s">
        <v>140</v>
      </c>
      <c r="G29" s="14" t="s">
        <v>137</v>
      </c>
      <c r="H29" s="41" t="s">
        <v>140</v>
      </c>
      <c r="I29" s="41" t="s">
        <v>140</v>
      </c>
      <c r="J29" s="13"/>
      <c r="K29" s="2"/>
      <c r="L29" s="2"/>
    </row>
    <row r="30" spans="1:12" ht="24.75" customHeight="1" x14ac:dyDescent="0.3">
      <c r="A30" s="6"/>
      <c r="B30" s="5"/>
      <c r="C30" s="4"/>
      <c r="D30" s="15" t="s">
        <v>250</v>
      </c>
      <c r="E30" s="41"/>
      <c r="F30" s="41"/>
      <c r="G30" s="14" t="s">
        <v>113</v>
      </c>
      <c r="H30" s="41"/>
      <c r="I30" s="41"/>
      <c r="J30" s="13"/>
      <c r="K30" s="2"/>
      <c r="L30" s="2"/>
    </row>
    <row r="31" spans="1:12" ht="24.75" customHeight="1" x14ac:dyDescent="0.3">
      <c r="A31" s="6"/>
      <c r="B31" s="5"/>
      <c r="C31" s="4"/>
      <c r="D31" s="15" t="s">
        <v>251</v>
      </c>
      <c r="E31" s="41"/>
      <c r="F31" s="41"/>
      <c r="G31" s="14" t="s">
        <v>113</v>
      </c>
      <c r="H31" s="41"/>
      <c r="I31" s="41"/>
      <c r="J31" s="13"/>
      <c r="K31" s="2"/>
      <c r="L31" s="2"/>
    </row>
    <row r="32" spans="1:12" ht="24.75" customHeight="1" x14ac:dyDescent="0.3">
      <c r="A32" s="6"/>
      <c r="B32" s="5"/>
      <c r="C32" s="4"/>
      <c r="D32" s="15" t="s">
        <v>252</v>
      </c>
      <c r="E32" s="41"/>
      <c r="F32" s="41"/>
      <c r="G32" s="14" t="s">
        <v>31</v>
      </c>
      <c r="H32" s="41"/>
      <c r="I32" s="44"/>
      <c r="J32" s="13"/>
      <c r="K32" s="2"/>
      <c r="L32" s="2"/>
    </row>
    <row r="33" spans="1:12" ht="18.75" x14ac:dyDescent="0.3">
      <c r="A33" s="6" t="s">
        <v>56</v>
      </c>
      <c r="B33" s="5"/>
      <c r="C33" s="4"/>
      <c r="D33" s="15" t="s">
        <v>141</v>
      </c>
      <c r="E33" s="41"/>
      <c r="F33" s="41" t="s">
        <v>140</v>
      </c>
      <c r="G33" s="14" t="s">
        <v>30</v>
      </c>
      <c r="H33" s="41" t="s">
        <v>140</v>
      </c>
      <c r="I33" s="41" t="s">
        <v>140</v>
      </c>
      <c r="J33" s="13"/>
      <c r="L33" s="2"/>
    </row>
    <row r="34" spans="1:12" ht="48" x14ac:dyDescent="0.3">
      <c r="A34" s="6"/>
      <c r="B34" s="5"/>
      <c r="C34" s="4"/>
      <c r="D34" s="15" t="s">
        <v>273</v>
      </c>
      <c r="E34" s="41"/>
      <c r="F34" s="41">
        <f>8</f>
        <v>8</v>
      </c>
      <c r="G34" s="14" t="s">
        <v>113</v>
      </c>
      <c r="H34" s="41">
        <f>1252.6/F34</f>
        <v>156.57499999999999</v>
      </c>
      <c r="I34" s="55">
        <f>F34*H34</f>
        <v>1252.5999999999999</v>
      </c>
      <c r="J34" s="13" t="s">
        <v>270</v>
      </c>
      <c r="L34" s="2"/>
    </row>
    <row r="35" spans="1:12" ht="32.25" x14ac:dyDescent="0.3">
      <c r="A35" s="6" t="s">
        <v>58</v>
      </c>
      <c r="B35" s="5"/>
      <c r="C35" s="4"/>
      <c r="D35" s="15" t="s">
        <v>95</v>
      </c>
      <c r="E35" s="41" t="s">
        <v>140</v>
      </c>
      <c r="F35" s="41" t="s">
        <v>140</v>
      </c>
      <c r="G35" s="14" t="s">
        <v>54</v>
      </c>
      <c r="H35" s="41" t="s">
        <v>140</v>
      </c>
      <c r="I35" s="41" t="s">
        <v>140</v>
      </c>
      <c r="J35" s="13"/>
      <c r="L35" s="2"/>
    </row>
    <row r="36" spans="1:12" ht="32.25" x14ac:dyDescent="0.3">
      <c r="A36" s="6" t="s">
        <v>14</v>
      </c>
      <c r="B36" s="5"/>
      <c r="C36" s="4"/>
      <c r="D36" s="15" t="s">
        <v>94</v>
      </c>
      <c r="E36" s="41" t="s">
        <v>140</v>
      </c>
      <c r="F36" s="41" t="s">
        <v>140</v>
      </c>
      <c r="G36" s="14" t="s">
        <v>55</v>
      </c>
      <c r="H36" s="41" t="s">
        <v>140</v>
      </c>
      <c r="I36" s="41" t="s">
        <v>140</v>
      </c>
      <c r="J36" s="13"/>
      <c r="L36" s="2"/>
    </row>
    <row r="37" spans="1:12" ht="18.75" x14ac:dyDescent="0.3">
      <c r="A37" s="6" t="s">
        <v>15</v>
      </c>
      <c r="B37" s="5"/>
      <c r="C37" s="4"/>
      <c r="D37" s="4" t="s">
        <v>43</v>
      </c>
      <c r="E37" s="41" t="s">
        <v>140</v>
      </c>
      <c r="F37" s="41" t="s">
        <v>140</v>
      </c>
      <c r="G37" s="14" t="s">
        <v>55</v>
      </c>
      <c r="H37" s="41" t="s">
        <v>140</v>
      </c>
      <c r="I37" s="41" t="s">
        <v>140</v>
      </c>
      <c r="J37" s="13"/>
      <c r="L37" s="2"/>
    </row>
    <row r="38" spans="1:12" ht="18.75" x14ac:dyDescent="0.3">
      <c r="A38" s="6" t="s">
        <v>16</v>
      </c>
      <c r="B38" s="5"/>
      <c r="C38" s="4"/>
      <c r="D38" s="4" t="s">
        <v>44</v>
      </c>
      <c r="E38" s="41" t="s">
        <v>140</v>
      </c>
      <c r="F38" s="41" t="s">
        <v>140</v>
      </c>
      <c r="G38" s="14" t="s">
        <v>54</v>
      </c>
      <c r="H38" s="41" t="s">
        <v>140</v>
      </c>
      <c r="I38" s="41" t="s">
        <v>140</v>
      </c>
      <c r="J38" s="13"/>
      <c r="L38" s="2"/>
    </row>
    <row r="39" spans="1:12" ht="18.75" x14ac:dyDescent="0.3">
      <c r="A39" s="6" t="s">
        <v>17</v>
      </c>
      <c r="B39" s="5"/>
      <c r="C39" s="4"/>
      <c r="D39" s="4" t="s">
        <v>45</v>
      </c>
      <c r="E39" s="41" t="s">
        <v>140</v>
      </c>
      <c r="F39" s="41" t="s">
        <v>140</v>
      </c>
      <c r="G39" s="13" t="s">
        <v>30</v>
      </c>
      <c r="H39" s="41" t="s">
        <v>140</v>
      </c>
      <c r="I39" s="41" t="s">
        <v>140</v>
      </c>
      <c r="J39" s="13"/>
      <c r="L39" s="2"/>
    </row>
    <row r="40" spans="1:12" ht="18.75" x14ac:dyDescent="0.3">
      <c r="A40" s="6" t="s">
        <v>18</v>
      </c>
      <c r="B40" s="5"/>
      <c r="C40" s="4"/>
      <c r="D40" s="4" t="s">
        <v>46</v>
      </c>
      <c r="E40" s="41" t="s">
        <v>140</v>
      </c>
      <c r="F40" s="41" t="s">
        <v>140</v>
      </c>
      <c r="G40" s="14" t="s">
        <v>55</v>
      </c>
      <c r="H40" s="41" t="s">
        <v>140</v>
      </c>
      <c r="I40" s="41" t="s">
        <v>140</v>
      </c>
      <c r="J40" s="13"/>
      <c r="L40" s="2"/>
    </row>
    <row r="41" spans="1:12" ht="18.75" x14ac:dyDescent="0.3">
      <c r="A41" s="28"/>
      <c r="B41" s="22"/>
      <c r="C41" s="22"/>
      <c r="D41" s="22"/>
      <c r="E41" s="45"/>
      <c r="F41" s="45"/>
      <c r="G41" s="12"/>
      <c r="H41" s="41"/>
      <c r="I41" s="41">
        <f>SUM(I30:I40)</f>
        <v>1252.5999999999999</v>
      </c>
      <c r="J41" s="13"/>
      <c r="L41" s="2"/>
    </row>
    <row r="42" spans="1:12" ht="24" customHeight="1" x14ac:dyDescent="0.3">
      <c r="A42" s="69" t="s">
        <v>87</v>
      </c>
      <c r="B42" s="70"/>
      <c r="C42" s="70"/>
      <c r="D42" s="70"/>
      <c r="E42" s="70"/>
      <c r="F42" s="70"/>
      <c r="G42" s="71"/>
      <c r="H42" s="14"/>
      <c r="I42" s="5"/>
      <c r="J42" s="13"/>
      <c r="L42" s="2"/>
    </row>
    <row r="43" spans="1:12" ht="32.25" customHeight="1" x14ac:dyDescent="0.3">
      <c r="A43" s="6" t="s">
        <v>50</v>
      </c>
      <c r="B43" s="5"/>
      <c r="C43" s="4"/>
      <c r="D43" s="15" t="s">
        <v>202</v>
      </c>
      <c r="E43" s="41" t="s">
        <v>140</v>
      </c>
      <c r="F43" s="41" t="s">
        <v>140</v>
      </c>
      <c r="G43" s="38" t="s">
        <v>31</v>
      </c>
      <c r="H43" s="41" t="s">
        <v>140</v>
      </c>
      <c r="I43" s="41" t="s">
        <v>140</v>
      </c>
      <c r="J43" s="13"/>
      <c r="L43" s="2"/>
    </row>
    <row r="44" spans="1:12" ht="32.25" customHeight="1" x14ac:dyDescent="0.3">
      <c r="A44" s="6"/>
      <c r="B44" s="5"/>
      <c r="C44" s="4"/>
      <c r="D44" s="15" t="s">
        <v>213</v>
      </c>
      <c r="E44" s="41" t="s">
        <v>140</v>
      </c>
      <c r="F44" s="41" t="s">
        <v>140</v>
      </c>
      <c r="G44" s="13" t="s">
        <v>214</v>
      </c>
      <c r="H44" s="41" t="s">
        <v>140</v>
      </c>
      <c r="I44" s="41" t="s">
        <v>140</v>
      </c>
      <c r="J44" s="13"/>
      <c r="L44" s="2"/>
    </row>
    <row r="45" spans="1:12" ht="32.25" customHeight="1" x14ac:dyDescent="0.3">
      <c r="A45" s="6"/>
      <c r="B45" s="5"/>
      <c r="C45" s="4"/>
      <c r="D45" s="15" t="s">
        <v>210</v>
      </c>
      <c r="E45" s="41" t="s">
        <v>140</v>
      </c>
      <c r="F45" s="41" t="s">
        <v>140</v>
      </c>
      <c r="G45" s="13" t="s">
        <v>31</v>
      </c>
      <c r="H45" s="41" t="s">
        <v>140</v>
      </c>
      <c r="I45" s="41" t="s">
        <v>140</v>
      </c>
      <c r="J45" s="13"/>
      <c r="L45" s="2"/>
    </row>
    <row r="46" spans="1:12" ht="32.25" customHeight="1" x14ac:dyDescent="0.3">
      <c r="A46" s="6"/>
      <c r="B46" s="5"/>
      <c r="C46" s="4"/>
      <c r="D46" s="15" t="s">
        <v>305</v>
      </c>
      <c r="E46" s="41" t="s">
        <v>140</v>
      </c>
      <c r="F46" s="41">
        <f>2</f>
        <v>2</v>
      </c>
      <c r="G46" s="13" t="s">
        <v>31</v>
      </c>
      <c r="H46" s="41">
        <f>2884/F46</f>
        <v>1442</v>
      </c>
      <c r="I46" s="55">
        <f>F46*H46</f>
        <v>2884</v>
      </c>
      <c r="J46" s="13" t="s">
        <v>121</v>
      </c>
      <c r="L46" s="2"/>
    </row>
    <row r="47" spans="1:12" ht="32.25" customHeight="1" x14ac:dyDescent="0.3">
      <c r="A47" s="6"/>
      <c r="B47" s="5"/>
      <c r="C47" s="4"/>
      <c r="D47" s="15" t="s">
        <v>211</v>
      </c>
      <c r="E47" s="41" t="s">
        <v>140</v>
      </c>
      <c r="F47" s="41">
        <f>1+4</f>
        <v>5</v>
      </c>
      <c r="G47" s="13" t="s">
        <v>31</v>
      </c>
      <c r="H47" s="41">
        <f>(985.8+4054.2)/F47</f>
        <v>1008</v>
      </c>
      <c r="I47" s="55">
        <f>F47*H47</f>
        <v>5040</v>
      </c>
      <c r="J47" s="13" t="s">
        <v>118</v>
      </c>
      <c r="L47" s="2"/>
    </row>
    <row r="48" spans="1:12" ht="32.25" customHeight="1" x14ac:dyDescent="0.3">
      <c r="A48" s="6"/>
      <c r="B48" s="5"/>
      <c r="C48" s="4"/>
      <c r="D48" s="15" t="s">
        <v>271</v>
      </c>
      <c r="E48" s="41"/>
      <c r="F48" s="41">
        <f>1+2</f>
        <v>3</v>
      </c>
      <c r="G48" s="13" t="s">
        <v>31</v>
      </c>
      <c r="H48" s="41">
        <f>(53850+79270.8)/F48</f>
        <v>44373.599999999999</v>
      </c>
      <c r="I48" s="55">
        <f>F48*H48</f>
        <v>133120.79999999999</v>
      </c>
      <c r="J48" s="13" t="s">
        <v>121</v>
      </c>
      <c r="L48" s="2"/>
    </row>
    <row r="49" spans="1:12" ht="32.25" customHeight="1" x14ac:dyDescent="0.3">
      <c r="A49" s="6"/>
      <c r="B49" s="5"/>
      <c r="C49" s="4"/>
      <c r="D49" s="15" t="s">
        <v>212</v>
      </c>
      <c r="E49" s="41"/>
      <c r="F49" s="41"/>
      <c r="G49" s="13" t="s">
        <v>31</v>
      </c>
      <c r="H49" s="41"/>
      <c r="I49" s="41"/>
      <c r="J49" s="13"/>
      <c r="L49" s="2"/>
    </row>
    <row r="50" spans="1:12" ht="32.25" customHeight="1" x14ac:dyDescent="0.3">
      <c r="A50" s="6"/>
      <c r="B50" s="5"/>
      <c r="C50" s="4"/>
      <c r="D50" s="15" t="s">
        <v>263</v>
      </c>
      <c r="E50" s="41"/>
      <c r="F50" s="41"/>
      <c r="G50" s="13" t="s">
        <v>113</v>
      </c>
      <c r="H50" s="41"/>
      <c r="I50" s="41"/>
      <c r="J50" s="13"/>
      <c r="L50" s="2"/>
    </row>
    <row r="51" spans="1:12" ht="32.25" customHeight="1" x14ac:dyDescent="0.3">
      <c r="A51" s="6"/>
      <c r="B51" s="5"/>
      <c r="C51" s="4"/>
      <c r="D51" s="15" t="s">
        <v>264</v>
      </c>
      <c r="E51" s="41"/>
      <c r="F51" s="41"/>
      <c r="G51" s="13" t="s">
        <v>113</v>
      </c>
      <c r="H51" s="41"/>
      <c r="I51" s="44"/>
      <c r="J51" s="13"/>
      <c r="L51" s="2"/>
    </row>
    <row r="52" spans="1:12" ht="32.25" customHeight="1" x14ac:dyDescent="0.3">
      <c r="A52" s="6"/>
      <c r="B52" s="5"/>
      <c r="C52" s="4"/>
      <c r="D52" s="15" t="s">
        <v>280</v>
      </c>
      <c r="E52" s="41" t="s">
        <v>140</v>
      </c>
      <c r="F52" s="41">
        <f>1</f>
        <v>1</v>
      </c>
      <c r="G52" s="13" t="s">
        <v>31</v>
      </c>
      <c r="H52" s="41">
        <f>4912.4/F52</f>
        <v>4912.3999999999996</v>
      </c>
      <c r="I52" s="55">
        <f>F52*H52</f>
        <v>4912.3999999999996</v>
      </c>
      <c r="J52" s="13" t="s">
        <v>122</v>
      </c>
      <c r="L52" s="2"/>
    </row>
    <row r="53" spans="1:12" ht="32.25" customHeight="1" x14ac:dyDescent="0.3">
      <c r="A53" s="6"/>
      <c r="B53" s="5"/>
      <c r="C53" s="4"/>
      <c r="D53" s="15" t="s">
        <v>248</v>
      </c>
      <c r="E53" s="41"/>
      <c r="F53" s="41"/>
      <c r="G53" s="13" t="s">
        <v>31</v>
      </c>
      <c r="H53" s="41"/>
      <c r="I53" s="41"/>
      <c r="J53" s="13"/>
      <c r="L53" s="2"/>
    </row>
    <row r="54" spans="1:12" ht="54.75" customHeight="1" x14ac:dyDescent="0.3">
      <c r="A54" s="6"/>
      <c r="B54" s="5"/>
      <c r="C54" s="4"/>
      <c r="D54" s="15" t="s">
        <v>209</v>
      </c>
      <c r="E54" s="41"/>
      <c r="F54" s="41">
        <f>4+26.5</f>
        <v>30.5</v>
      </c>
      <c r="G54" s="13" t="s">
        <v>149</v>
      </c>
      <c r="H54" s="44">
        <f>(2833+6982)/F54</f>
        <v>321.80327868852459</v>
      </c>
      <c r="I54" s="55">
        <f t="shared" ref="I54" si="0">F54*H54</f>
        <v>9815</v>
      </c>
      <c r="J54" s="13" t="s">
        <v>121</v>
      </c>
      <c r="L54" s="2"/>
    </row>
    <row r="55" spans="1:12" ht="32.25" customHeight="1" x14ac:dyDescent="0.3">
      <c r="A55" s="6"/>
      <c r="B55" s="5"/>
      <c r="C55" s="4"/>
      <c r="D55" s="15" t="s">
        <v>163</v>
      </c>
      <c r="E55" s="41"/>
      <c r="F55" s="41">
        <f>0.35+0.5</f>
        <v>0.85</v>
      </c>
      <c r="G55" s="13" t="s">
        <v>185</v>
      </c>
      <c r="H55" s="44">
        <f>(1113+1619.4)/F55</f>
        <v>3214.588235294118</v>
      </c>
      <c r="I55" s="55">
        <f>F55*H55</f>
        <v>2732.4</v>
      </c>
      <c r="J55" s="13" t="s">
        <v>121</v>
      </c>
      <c r="L55" s="2"/>
    </row>
    <row r="56" spans="1:12" ht="32.25" customHeight="1" x14ac:dyDescent="0.3">
      <c r="A56" s="6"/>
      <c r="B56" s="5"/>
      <c r="C56" s="4"/>
      <c r="D56" s="15" t="s">
        <v>223</v>
      </c>
      <c r="E56" s="41" t="s">
        <v>140</v>
      </c>
      <c r="F56" s="41" t="s">
        <v>140</v>
      </c>
      <c r="G56" s="13" t="s">
        <v>113</v>
      </c>
      <c r="H56" s="41" t="s">
        <v>140</v>
      </c>
      <c r="I56" s="41" t="s">
        <v>140</v>
      </c>
      <c r="J56" s="13"/>
      <c r="L56" s="2"/>
    </row>
    <row r="57" spans="1:12" ht="49.5" customHeight="1" x14ac:dyDescent="0.3">
      <c r="A57" s="6"/>
      <c r="B57" s="5"/>
      <c r="C57" s="4"/>
      <c r="D57" s="15" t="s">
        <v>245</v>
      </c>
      <c r="E57" s="41"/>
      <c r="F57" s="41"/>
      <c r="G57" s="13" t="s">
        <v>113</v>
      </c>
      <c r="H57" s="41"/>
      <c r="I57" s="44"/>
      <c r="J57" s="13"/>
      <c r="L57" s="2"/>
    </row>
    <row r="58" spans="1:12" ht="49.5" customHeight="1" x14ac:dyDescent="0.3">
      <c r="A58" s="6"/>
      <c r="B58" s="5"/>
      <c r="C58" s="4"/>
      <c r="D58" s="15" t="s">
        <v>287</v>
      </c>
      <c r="E58" s="41"/>
      <c r="F58" s="41">
        <f>1+1</f>
        <v>2</v>
      </c>
      <c r="G58" s="13" t="s">
        <v>31</v>
      </c>
      <c r="H58" s="41">
        <f>(6223.4+6469.6)/F58</f>
        <v>6346.5</v>
      </c>
      <c r="I58" s="57">
        <f t="shared" ref="I58" si="1">F58*H58</f>
        <v>12693</v>
      </c>
      <c r="J58" s="13" t="s">
        <v>118</v>
      </c>
      <c r="L58" s="2"/>
    </row>
    <row r="59" spans="1:12" ht="49.5" customHeight="1" x14ac:dyDescent="0.3">
      <c r="A59" s="6"/>
      <c r="B59" s="5"/>
      <c r="C59" s="4"/>
      <c r="D59" s="15" t="s">
        <v>227</v>
      </c>
      <c r="E59" s="41"/>
      <c r="F59" s="41"/>
      <c r="G59" s="13" t="s">
        <v>149</v>
      </c>
      <c r="H59" s="41"/>
      <c r="I59" s="44"/>
      <c r="J59" s="13"/>
      <c r="L59" s="2"/>
    </row>
    <row r="60" spans="1:12" ht="32.25" x14ac:dyDescent="0.3">
      <c r="A60" s="6" t="s">
        <v>51</v>
      </c>
      <c r="B60" s="5"/>
      <c r="C60" s="4"/>
      <c r="D60" s="15" t="s">
        <v>247</v>
      </c>
      <c r="E60" s="41"/>
      <c r="F60" s="41"/>
      <c r="G60" s="13" t="s">
        <v>55</v>
      </c>
      <c r="H60" s="41"/>
      <c r="I60" s="41"/>
      <c r="J60" s="13"/>
      <c r="L60" s="2"/>
    </row>
    <row r="61" spans="1:12" ht="32.25" x14ac:dyDescent="0.3">
      <c r="A61" s="6"/>
      <c r="B61" s="5"/>
      <c r="C61" s="4"/>
      <c r="D61" s="15" t="s">
        <v>246</v>
      </c>
      <c r="E61" s="41"/>
      <c r="F61" s="41"/>
      <c r="G61" s="13" t="s">
        <v>31</v>
      </c>
      <c r="H61" s="41"/>
      <c r="I61" s="41"/>
      <c r="J61" s="13"/>
      <c r="L61" s="2"/>
    </row>
    <row r="62" spans="1:12" ht="32.25" x14ac:dyDescent="0.3">
      <c r="A62" s="6"/>
      <c r="B62" s="5"/>
      <c r="C62" s="4"/>
      <c r="D62" s="15" t="s">
        <v>244</v>
      </c>
      <c r="E62" s="41"/>
      <c r="F62" s="41"/>
      <c r="G62" s="13" t="s">
        <v>30</v>
      </c>
      <c r="H62" s="41"/>
      <c r="I62" s="41"/>
      <c r="J62" s="13"/>
      <c r="L62" s="2"/>
    </row>
    <row r="63" spans="1:12" ht="32.25" x14ac:dyDescent="0.3">
      <c r="A63" s="6"/>
      <c r="B63" s="5"/>
      <c r="C63" s="4"/>
      <c r="D63" s="15" t="s">
        <v>183</v>
      </c>
      <c r="E63" s="41" t="s">
        <v>140</v>
      </c>
      <c r="F63" s="41" t="s">
        <v>140</v>
      </c>
      <c r="G63" s="13" t="s">
        <v>113</v>
      </c>
      <c r="H63" s="41" t="s">
        <v>140</v>
      </c>
      <c r="I63" s="41" t="s">
        <v>140</v>
      </c>
      <c r="J63" s="13"/>
      <c r="L63" s="2"/>
    </row>
    <row r="64" spans="1:12" ht="32.25" x14ac:dyDescent="0.3">
      <c r="A64" s="6"/>
      <c r="B64" s="5"/>
      <c r="C64" s="4"/>
      <c r="D64" s="15" t="s">
        <v>184</v>
      </c>
      <c r="E64" s="41"/>
      <c r="F64" s="41">
        <f>1+0.7</f>
        <v>1.7</v>
      </c>
      <c r="G64" s="13" t="s">
        <v>113</v>
      </c>
      <c r="H64" s="44">
        <f>(2520.4+1804.6)/F64</f>
        <v>2544.1176470588234</v>
      </c>
      <c r="I64" s="57">
        <f t="shared" ref="I64:I65" si="2">F64*H64</f>
        <v>4325</v>
      </c>
      <c r="J64" s="13" t="s">
        <v>121</v>
      </c>
      <c r="L64" s="2"/>
    </row>
    <row r="65" spans="1:12" ht="32.25" x14ac:dyDescent="0.3">
      <c r="A65" s="6"/>
      <c r="B65" s="5"/>
      <c r="C65" s="4"/>
      <c r="D65" s="15" t="s">
        <v>208</v>
      </c>
      <c r="E65" s="41"/>
      <c r="F65" s="41">
        <f>0.57</f>
        <v>0.56999999999999995</v>
      </c>
      <c r="G65" s="13" t="s">
        <v>113</v>
      </c>
      <c r="H65" s="44">
        <f>1787.6/F65</f>
        <v>3136.1403508771932</v>
      </c>
      <c r="I65" s="57">
        <f t="shared" si="2"/>
        <v>1787.6</v>
      </c>
      <c r="J65" s="13" t="s">
        <v>121</v>
      </c>
      <c r="L65" s="2"/>
    </row>
    <row r="66" spans="1:12" ht="18.75" x14ac:dyDescent="0.3">
      <c r="A66" s="6"/>
      <c r="B66" s="5"/>
      <c r="C66" s="4"/>
      <c r="D66" s="15" t="s">
        <v>261</v>
      </c>
      <c r="E66" s="41"/>
      <c r="F66" s="41"/>
      <c r="G66" s="13" t="s">
        <v>113</v>
      </c>
      <c r="H66" s="41"/>
      <c r="I66" s="44"/>
      <c r="J66" s="13"/>
      <c r="L66" s="2"/>
    </row>
    <row r="67" spans="1:12" ht="18.75" x14ac:dyDescent="0.3">
      <c r="A67" s="6"/>
      <c r="B67" s="5"/>
      <c r="C67" s="4"/>
      <c r="D67" s="15" t="s">
        <v>262</v>
      </c>
      <c r="E67" s="41"/>
      <c r="F67" s="41"/>
      <c r="G67" s="13" t="s">
        <v>113</v>
      </c>
      <c r="H67" s="41"/>
      <c r="I67" s="44"/>
      <c r="J67" s="13"/>
      <c r="L67" s="2"/>
    </row>
    <row r="68" spans="1:12" ht="48" x14ac:dyDescent="0.3">
      <c r="A68" s="6"/>
      <c r="B68" s="5"/>
      <c r="C68" s="4"/>
      <c r="D68" s="15" t="s">
        <v>254</v>
      </c>
      <c r="E68" s="41"/>
      <c r="F68" s="41"/>
      <c r="G68" s="13" t="s">
        <v>113</v>
      </c>
      <c r="H68" s="41"/>
      <c r="I68" s="44"/>
      <c r="J68" s="13"/>
      <c r="L68" s="2"/>
    </row>
    <row r="69" spans="1:12" ht="48" x14ac:dyDescent="0.3">
      <c r="A69" s="6"/>
      <c r="B69" s="5"/>
      <c r="C69" s="4"/>
      <c r="D69" s="15" t="s">
        <v>254</v>
      </c>
      <c r="E69" s="41"/>
      <c r="F69" s="41"/>
      <c r="G69" s="13" t="s">
        <v>113</v>
      </c>
      <c r="H69" s="41"/>
      <c r="I69" s="44"/>
      <c r="J69" s="13"/>
      <c r="L69" s="2"/>
    </row>
    <row r="70" spans="1:12" ht="48" x14ac:dyDescent="0.3">
      <c r="A70" s="6"/>
      <c r="B70" s="5"/>
      <c r="C70" s="4"/>
      <c r="D70" s="15" t="s">
        <v>258</v>
      </c>
      <c r="E70" s="41"/>
      <c r="F70" s="41"/>
      <c r="G70" s="13" t="s">
        <v>113</v>
      </c>
      <c r="H70" s="41"/>
      <c r="I70" s="44"/>
      <c r="J70" s="13"/>
      <c r="L70" s="2"/>
    </row>
    <row r="71" spans="1:12" ht="32.25" x14ac:dyDescent="0.3">
      <c r="A71" s="6" t="s">
        <v>60</v>
      </c>
      <c r="B71" s="8"/>
      <c r="C71" s="4"/>
      <c r="D71" s="15" t="s">
        <v>47</v>
      </c>
      <c r="E71" s="41" t="s">
        <v>140</v>
      </c>
      <c r="F71" s="41" t="s">
        <v>140</v>
      </c>
      <c r="G71" s="14" t="s">
        <v>54</v>
      </c>
      <c r="H71" s="41"/>
      <c r="I71" s="41"/>
      <c r="J71" s="13"/>
      <c r="L71" s="2"/>
    </row>
    <row r="72" spans="1:12" ht="48" x14ac:dyDescent="0.3">
      <c r="A72" s="6"/>
      <c r="B72" s="8"/>
      <c r="C72" s="4"/>
      <c r="D72" s="15" t="s">
        <v>259</v>
      </c>
      <c r="E72" s="41"/>
      <c r="F72" s="41"/>
      <c r="G72" s="13" t="s">
        <v>113</v>
      </c>
      <c r="H72" s="41"/>
      <c r="I72" s="41"/>
      <c r="J72" s="13"/>
      <c r="L72" s="2"/>
    </row>
    <row r="73" spans="1:12" ht="48" x14ac:dyDescent="0.3">
      <c r="A73" s="6"/>
      <c r="B73" s="8"/>
      <c r="C73" s="4"/>
      <c r="D73" s="15" t="s">
        <v>222</v>
      </c>
      <c r="E73" s="41"/>
      <c r="F73" s="41"/>
      <c r="G73" s="13" t="s">
        <v>113</v>
      </c>
      <c r="H73" s="41"/>
      <c r="I73" s="41"/>
      <c r="J73" s="13"/>
      <c r="L73" s="2"/>
    </row>
    <row r="74" spans="1:12" ht="48" x14ac:dyDescent="0.3">
      <c r="A74" s="6"/>
      <c r="B74" s="8"/>
      <c r="C74" s="4"/>
      <c r="D74" s="15" t="s">
        <v>224</v>
      </c>
      <c r="E74" s="41"/>
      <c r="F74" s="41"/>
      <c r="G74" s="13" t="s">
        <v>113</v>
      </c>
      <c r="H74" s="41"/>
      <c r="I74" s="41"/>
      <c r="J74" s="13"/>
      <c r="L74" s="2"/>
    </row>
    <row r="75" spans="1:12" ht="32.25" x14ac:dyDescent="0.3">
      <c r="A75" s="6"/>
      <c r="B75" s="8"/>
      <c r="C75" s="4"/>
      <c r="D75" s="15" t="s">
        <v>225</v>
      </c>
      <c r="E75" s="41"/>
      <c r="F75" s="41"/>
      <c r="G75" s="13" t="s">
        <v>113</v>
      </c>
      <c r="H75" s="41" t="s">
        <v>140</v>
      </c>
      <c r="I75" s="41" t="s">
        <v>140</v>
      </c>
      <c r="J75" s="13"/>
      <c r="L75" s="2"/>
    </row>
    <row r="76" spans="1:12" ht="32.25" x14ac:dyDescent="0.3">
      <c r="A76" s="6"/>
      <c r="B76" s="8"/>
      <c r="C76" s="4"/>
      <c r="D76" s="15" t="s">
        <v>226</v>
      </c>
      <c r="E76" s="41"/>
      <c r="F76" s="41"/>
      <c r="G76" s="13" t="s">
        <v>113</v>
      </c>
      <c r="H76" s="41"/>
      <c r="I76" s="41"/>
      <c r="J76" s="13"/>
      <c r="L76" s="2"/>
    </row>
    <row r="77" spans="1:12" ht="63.75" x14ac:dyDescent="0.3">
      <c r="A77" s="6"/>
      <c r="B77" s="8"/>
      <c r="C77" s="4"/>
      <c r="D77" s="15" t="s">
        <v>228</v>
      </c>
      <c r="E77" s="41" t="s">
        <v>140</v>
      </c>
      <c r="F77" s="41" t="s">
        <v>140</v>
      </c>
      <c r="G77" s="13" t="s">
        <v>113</v>
      </c>
      <c r="H77" s="41" t="s">
        <v>140</v>
      </c>
      <c r="I77" s="41" t="s">
        <v>140</v>
      </c>
      <c r="J77" s="13"/>
      <c r="L77" s="2"/>
    </row>
    <row r="78" spans="1:12" ht="32.25" x14ac:dyDescent="0.3">
      <c r="A78" s="6"/>
      <c r="B78" s="8"/>
      <c r="C78" s="4"/>
      <c r="D78" s="15" t="s">
        <v>230</v>
      </c>
      <c r="E78" s="41" t="s">
        <v>140</v>
      </c>
      <c r="F78" s="41" t="s">
        <v>140</v>
      </c>
      <c r="G78" s="13" t="s">
        <v>113</v>
      </c>
      <c r="H78" s="41" t="s">
        <v>140</v>
      </c>
      <c r="I78" s="41" t="s">
        <v>140</v>
      </c>
      <c r="J78" s="13"/>
      <c r="L78" s="2"/>
    </row>
    <row r="79" spans="1:12" ht="32.25" x14ac:dyDescent="0.3">
      <c r="A79" s="6"/>
      <c r="B79" s="8"/>
      <c r="C79" s="4"/>
      <c r="D79" s="15" t="s">
        <v>231</v>
      </c>
      <c r="E79" s="41"/>
      <c r="F79" s="41"/>
      <c r="G79" s="13" t="s">
        <v>113</v>
      </c>
      <c r="H79" s="41"/>
      <c r="I79" s="41"/>
      <c r="J79" s="13"/>
      <c r="L79" s="2"/>
    </row>
    <row r="80" spans="1:12" ht="32.25" x14ac:dyDescent="0.3">
      <c r="A80" s="6"/>
      <c r="B80" s="8"/>
      <c r="C80" s="4"/>
      <c r="D80" s="15" t="s">
        <v>229</v>
      </c>
      <c r="E80" s="41"/>
      <c r="F80" s="41"/>
      <c r="G80" s="13" t="s">
        <v>113</v>
      </c>
      <c r="H80" s="41"/>
      <c r="I80" s="41"/>
      <c r="J80" s="13"/>
      <c r="L80" s="2"/>
    </row>
    <row r="81" spans="1:12" ht="32.25" x14ac:dyDescent="0.3">
      <c r="A81" s="6"/>
      <c r="B81" s="8"/>
      <c r="C81" s="4"/>
      <c r="D81" s="15" t="s">
        <v>253</v>
      </c>
      <c r="E81" s="41"/>
      <c r="F81" s="41"/>
      <c r="G81" s="13" t="s">
        <v>113</v>
      </c>
      <c r="H81" s="41"/>
      <c r="I81" s="41"/>
      <c r="J81" s="13"/>
      <c r="L81" s="2"/>
    </row>
    <row r="82" spans="1:12" ht="79.5" x14ac:dyDescent="0.3">
      <c r="A82" s="6"/>
      <c r="B82" s="8"/>
      <c r="C82" s="4"/>
      <c r="D82" s="15" t="s">
        <v>232</v>
      </c>
      <c r="E82" s="41" t="s">
        <v>140</v>
      </c>
      <c r="F82" s="41" t="s">
        <v>140</v>
      </c>
      <c r="G82" s="13" t="s">
        <v>113</v>
      </c>
      <c r="H82" s="41" t="s">
        <v>140</v>
      </c>
      <c r="I82" s="41" t="s">
        <v>140</v>
      </c>
      <c r="J82" s="13"/>
      <c r="L82" s="2"/>
    </row>
    <row r="83" spans="1:12" ht="48" x14ac:dyDescent="0.3">
      <c r="A83" s="6"/>
      <c r="B83" s="8"/>
      <c r="C83" s="4"/>
      <c r="D83" s="15" t="s">
        <v>233</v>
      </c>
      <c r="E83" s="41" t="s">
        <v>140</v>
      </c>
      <c r="F83" s="41" t="s">
        <v>140</v>
      </c>
      <c r="G83" s="13" t="s">
        <v>113</v>
      </c>
      <c r="H83" s="41" t="s">
        <v>140</v>
      </c>
      <c r="I83" s="41" t="s">
        <v>140</v>
      </c>
      <c r="J83" s="13"/>
      <c r="L83" s="2"/>
    </row>
    <row r="84" spans="1:12" ht="18.75" x14ac:dyDescent="0.3">
      <c r="A84" s="6" t="s">
        <v>62</v>
      </c>
      <c r="B84" s="5"/>
      <c r="C84" s="4"/>
      <c r="D84" s="15" t="s">
        <v>52</v>
      </c>
      <c r="E84" s="41" t="s">
        <v>140</v>
      </c>
      <c r="F84" s="41" t="s">
        <v>140</v>
      </c>
      <c r="G84" s="14" t="s">
        <v>54</v>
      </c>
      <c r="H84" s="41" t="s">
        <v>140</v>
      </c>
      <c r="I84" s="41" t="s">
        <v>140</v>
      </c>
      <c r="J84" s="13"/>
      <c r="L84" s="2"/>
    </row>
    <row r="85" spans="1:12" ht="32.25" x14ac:dyDescent="0.3">
      <c r="A85" s="6"/>
      <c r="B85" s="5"/>
      <c r="C85" s="4"/>
      <c r="D85" s="15" t="s">
        <v>278</v>
      </c>
      <c r="E85" s="41"/>
      <c r="F85" s="41">
        <f>9</f>
        <v>9</v>
      </c>
      <c r="G85" s="14" t="s">
        <v>149</v>
      </c>
      <c r="H85" s="44">
        <f>26459.2/F85</f>
        <v>2939.911111111111</v>
      </c>
      <c r="I85" s="55">
        <f>F85*H85</f>
        <v>26459.200000000001</v>
      </c>
      <c r="J85" s="13" t="s">
        <v>122</v>
      </c>
      <c r="L85" s="2"/>
    </row>
    <row r="86" spans="1:12" ht="32.25" x14ac:dyDescent="0.3">
      <c r="A86" s="6"/>
      <c r="B86" s="5"/>
      <c r="C86" s="4"/>
      <c r="D86" s="15" t="s">
        <v>279</v>
      </c>
      <c r="E86" s="41"/>
      <c r="F86" s="41">
        <v>9</v>
      </c>
      <c r="G86" s="14" t="s">
        <v>149</v>
      </c>
      <c r="H86" s="44">
        <f>23662/F86</f>
        <v>2629.1111111111113</v>
      </c>
      <c r="I86" s="55">
        <f>-F86*H86</f>
        <v>-23662</v>
      </c>
      <c r="J86" s="13" t="s">
        <v>122</v>
      </c>
      <c r="L86" s="2"/>
    </row>
    <row r="87" spans="1:12" ht="18.75" x14ac:dyDescent="0.3">
      <c r="A87" s="6"/>
      <c r="B87" s="5"/>
      <c r="C87" s="4"/>
      <c r="D87" s="15" t="s">
        <v>198</v>
      </c>
      <c r="E87" s="41" t="s">
        <v>140</v>
      </c>
      <c r="F87" s="41">
        <f>10</f>
        <v>10</v>
      </c>
      <c r="G87" s="14" t="s">
        <v>31</v>
      </c>
      <c r="H87" s="41">
        <f>2092.8/F87</f>
        <v>209.28000000000003</v>
      </c>
      <c r="I87" s="55">
        <f>F87*H87</f>
        <v>2092.8000000000002</v>
      </c>
      <c r="J87" s="13" t="s">
        <v>121</v>
      </c>
      <c r="L87" s="2"/>
    </row>
    <row r="88" spans="1:12" ht="18.75" x14ac:dyDescent="0.3">
      <c r="A88" s="6"/>
      <c r="B88" s="5"/>
      <c r="C88" s="4"/>
      <c r="D88" s="15" t="s">
        <v>299</v>
      </c>
      <c r="E88" s="41"/>
      <c r="F88" s="41">
        <f>25.2</f>
        <v>25.2</v>
      </c>
      <c r="G88" s="13" t="s">
        <v>113</v>
      </c>
      <c r="H88" s="44">
        <f>(14501.4+3981.4)/F88</f>
        <v>733.44444444444446</v>
      </c>
      <c r="I88" s="57">
        <f>F88*H88</f>
        <v>18482.8</v>
      </c>
      <c r="J88" s="13" t="s">
        <v>121</v>
      </c>
      <c r="L88" s="2"/>
    </row>
    <row r="89" spans="1:12" ht="32.25" x14ac:dyDescent="0.3">
      <c r="A89" s="6"/>
      <c r="B89" s="5"/>
      <c r="C89" s="4"/>
      <c r="D89" s="15" t="s">
        <v>300</v>
      </c>
      <c r="E89" s="41"/>
      <c r="F89" s="41">
        <f>25.2</f>
        <v>25.2</v>
      </c>
      <c r="G89" s="13" t="s">
        <v>113</v>
      </c>
      <c r="H89" s="44">
        <f>88968/F89</f>
        <v>3530.4761904761904</v>
      </c>
      <c r="I89" s="57">
        <f>H89*F89</f>
        <v>88968</v>
      </c>
      <c r="J89" s="13" t="s">
        <v>121</v>
      </c>
      <c r="L89" s="2"/>
    </row>
    <row r="90" spans="1:12" ht="18.75" x14ac:dyDescent="0.3">
      <c r="A90" s="6"/>
      <c r="B90" s="5"/>
      <c r="C90" s="4"/>
      <c r="D90" s="15" t="s">
        <v>293</v>
      </c>
      <c r="E90" s="41"/>
      <c r="F90" s="41">
        <f>1.2</f>
        <v>1.2</v>
      </c>
      <c r="G90" s="13" t="s">
        <v>113</v>
      </c>
      <c r="H90" s="41">
        <f>828.6/F90</f>
        <v>690.5</v>
      </c>
      <c r="I90" s="57">
        <f>F90*H90</f>
        <v>828.6</v>
      </c>
      <c r="J90" s="13" t="s">
        <v>121</v>
      </c>
      <c r="L90" s="2"/>
    </row>
    <row r="91" spans="1:12" ht="32.25" x14ac:dyDescent="0.3">
      <c r="A91" s="6" t="s">
        <v>63</v>
      </c>
      <c r="B91" s="5"/>
      <c r="C91" s="4"/>
      <c r="D91" s="15" t="s">
        <v>65</v>
      </c>
      <c r="E91" s="41" t="s">
        <v>140</v>
      </c>
      <c r="F91" s="41">
        <v>1</v>
      </c>
      <c r="G91" s="13" t="s">
        <v>31</v>
      </c>
      <c r="H91" s="41">
        <f>969/F91</f>
        <v>969</v>
      </c>
      <c r="I91" s="55">
        <f>F91*H91</f>
        <v>969</v>
      </c>
      <c r="J91" s="13"/>
      <c r="L91" s="2"/>
    </row>
    <row r="92" spans="1:12" ht="18.75" x14ac:dyDescent="0.3">
      <c r="A92" s="6"/>
      <c r="B92" s="5"/>
      <c r="C92" s="4"/>
      <c r="D92" s="15" t="s">
        <v>291</v>
      </c>
      <c r="E92" s="41" t="s">
        <v>140</v>
      </c>
      <c r="F92" s="41">
        <f>4</f>
        <v>4</v>
      </c>
      <c r="G92" s="13" t="s">
        <v>31</v>
      </c>
      <c r="H92" s="41">
        <f>2729/F92</f>
        <v>682.25</v>
      </c>
      <c r="I92" s="55">
        <f>F92*H92</f>
        <v>2729</v>
      </c>
      <c r="J92" s="13" t="s">
        <v>121</v>
      </c>
      <c r="L92" s="2"/>
    </row>
    <row r="93" spans="1:12" ht="18.75" x14ac:dyDescent="0.3">
      <c r="A93" s="6"/>
      <c r="B93" s="5"/>
      <c r="C93" s="4"/>
      <c r="D93" s="15" t="s">
        <v>292</v>
      </c>
      <c r="E93" s="41" t="s">
        <v>140</v>
      </c>
      <c r="F93" s="41">
        <f>4</f>
        <v>4</v>
      </c>
      <c r="G93" s="13" t="s">
        <v>31</v>
      </c>
      <c r="H93" s="41">
        <f>5107/F93</f>
        <v>1276.75</v>
      </c>
      <c r="I93" s="55">
        <f>F93*H93</f>
        <v>5107</v>
      </c>
      <c r="J93" s="13" t="s">
        <v>121</v>
      </c>
      <c r="L93" s="2"/>
    </row>
    <row r="94" spans="1:12" ht="18.75" x14ac:dyDescent="0.3">
      <c r="A94" s="6"/>
      <c r="B94" s="5"/>
      <c r="C94" s="4"/>
      <c r="D94" s="15" t="s">
        <v>163</v>
      </c>
      <c r="E94" s="41" t="s">
        <v>140</v>
      </c>
      <c r="F94" s="41" t="s">
        <v>140</v>
      </c>
      <c r="G94" s="13" t="s">
        <v>185</v>
      </c>
      <c r="H94" s="41" t="s">
        <v>140</v>
      </c>
      <c r="I94" s="41" t="s">
        <v>140</v>
      </c>
      <c r="J94" s="13"/>
      <c r="L94" s="2"/>
    </row>
    <row r="95" spans="1:12" ht="18.75" x14ac:dyDescent="0.3">
      <c r="A95" s="6" t="s">
        <v>59</v>
      </c>
      <c r="B95" s="8"/>
      <c r="C95" s="4"/>
      <c r="D95" s="4" t="s">
        <v>48</v>
      </c>
      <c r="E95" s="41" t="s">
        <v>140</v>
      </c>
      <c r="F95" s="41" t="s">
        <v>140</v>
      </c>
      <c r="G95" s="14" t="s">
        <v>54</v>
      </c>
      <c r="H95" s="41" t="s">
        <v>140</v>
      </c>
      <c r="I95" s="41" t="s">
        <v>140</v>
      </c>
      <c r="J95" s="13"/>
      <c r="L95" s="2"/>
    </row>
    <row r="96" spans="1:12" ht="24" customHeight="1" x14ac:dyDescent="0.3">
      <c r="A96" s="6" t="s">
        <v>61</v>
      </c>
      <c r="B96" s="8"/>
      <c r="C96" s="4"/>
      <c r="D96" s="4" t="s">
        <v>49</v>
      </c>
      <c r="E96" s="41" t="s">
        <v>140</v>
      </c>
      <c r="F96" s="41" t="s">
        <v>140</v>
      </c>
      <c r="G96" s="14" t="s">
        <v>54</v>
      </c>
      <c r="H96" s="41" t="s">
        <v>140</v>
      </c>
      <c r="I96" s="41" t="s">
        <v>140</v>
      </c>
      <c r="J96" s="13"/>
      <c r="L96" s="2"/>
    </row>
    <row r="97" spans="1:12" ht="24" customHeight="1" x14ac:dyDescent="0.3">
      <c r="A97" s="6" t="s">
        <v>66</v>
      </c>
      <c r="B97" s="8"/>
      <c r="C97" s="4"/>
      <c r="D97" s="4" t="s">
        <v>234</v>
      </c>
      <c r="E97" s="41" t="s">
        <v>140</v>
      </c>
      <c r="F97" s="41" t="s">
        <v>140</v>
      </c>
      <c r="G97" s="14" t="s">
        <v>31</v>
      </c>
      <c r="H97" s="41" t="s">
        <v>140</v>
      </c>
      <c r="I97" s="41" t="s">
        <v>140</v>
      </c>
      <c r="J97" s="13"/>
      <c r="L97" s="2"/>
    </row>
    <row r="98" spans="1:12" ht="48" x14ac:dyDescent="0.3">
      <c r="A98" s="6"/>
      <c r="B98" s="5"/>
      <c r="C98" s="4"/>
      <c r="D98" s="15" t="s">
        <v>235</v>
      </c>
      <c r="E98" s="41" t="s">
        <v>140</v>
      </c>
      <c r="F98" s="41" t="s">
        <v>140</v>
      </c>
      <c r="G98" s="13" t="s">
        <v>55</v>
      </c>
      <c r="H98" s="41" t="s">
        <v>140</v>
      </c>
      <c r="I98" s="41" t="s">
        <v>140</v>
      </c>
      <c r="J98" s="13"/>
      <c r="L98" s="2"/>
    </row>
    <row r="99" spans="1:12" ht="18.75" x14ac:dyDescent="0.3">
      <c r="A99" s="28"/>
      <c r="B99" s="22"/>
      <c r="C99" s="22"/>
      <c r="D99" s="22"/>
      <c r="E99" s="45"/>
      <c r="F99" s="45"/>
      <c r="G99" s="12"/>
      <c r="H99" s="41"/>
      <c r="I99" s="44">
        <f>SUM(I46:I98)</f>
        <v>299284.59999999998</v>
      </c>
      <c r="J99" s="13"/>
      <c r="L99" s="2"/>
    </row>
    <row r="100" spans="1:12" ht="18.75" x14ac:dyDescent="0.3">
      <c r="A100" s="69" t="s">
        <v>68</v>
      </c>
      <c r="B100" s="70"/>
      <c r="C100" s="70"/>
      <c r="D100" s="70"/>
      <c r="E100" s="70"/>
      <c r="F100" s="70"/>
      <c r="G100" s="71"/>
      <c r="H100" s="18"/>
      <c r="I100" s="5"/>
      <c r="J100" s="13"/>
      <c r="L100" s="2"/>
    </row>
    <row r="101" spans="1:12" ht="37.5" x14ac:dyDescent="0.25">
      <c r="A101" s="9" t="s">
        <v>29</v>
      </c>
      <c r="B101" s="8"/>
      <c r="C101" s="4"/>
      <c r="D101" s="15" t="s">
        <v>144</v>
      </c>
      <c r="E101" s="41" t="s">
        <v>140</v>
      </c>
      <c r="F101" s="41" t="s">
        <v>140</v>
      </c>
      <c r="G101" s="13" t="s">
        <v>55</v>
      </c>
      <c r="H101" s="41" t="s">
        <v>140</v>
      </c>
      <c r="I101" s="41" t="s">
        <v>140</v>
      </c>
      <c r="J101" s="13"/>
      <c r="L101" s="2"/>
    </row>
    <row r="102" spans="1:12" ht="47.25" x14ac:dyDescent="0.25">
      <c r="A102" s="9"/>
      <c r="B102" s="8"/>
      <c r="C102" s="4"/>
      <c r="D102" s="15" t="s">
        <v>237</v>
      </c>
      <c r="E102" s="41" t="s">
        <v>140</v>
      </c>
      <c r="F102" s="41" t="s">
        <v>140</v>
      </c>
      <c r="G102" s="13" t="s">
        <v>113</v>
      </c>
      <c r="H102" s="41" t="s">
        <v>140</v>
      </c>
      <c r="I102" s="41" t="s">
        <v>140</v>
      </c>
      <c r="J102" s="13"/>
      <c r="L102" s="2"/>
    </row>
    <row r="103" spans="1:12" ht="31.5" x14ac:dyDescent="0.25">
      <c r="A103" s="9"/>
      <c r="B103" s="8"/>
      <c r="C103" s="4"/>
      <c r="D103" s="15" t="s">
        <v>216</v>
      </c>
      <c r="E103" s="41" t="s">
        <v>140</v>
      </c>
      <c r="F103" s="41" t="s">
        <v>140</v>
      </c>
      <c r="G103" s="13" t="s">
        <v>30</v>
      </c>
      <c r="H103" s="41" t="s">
        <v>140</v>
      </c>
      <c r="I103" s="41" t="s">
        <v>140</v>
      </c>
      <c r="J103" s="13"/>
      <c r="L103" s="2"/>
    </row>
    <row r="104" spans="1:12" ht="46.5" customHeight="1" x14ac:dyDescent="0.25">
      <c r="A104" s="9" t="s">
        <v>93</v>
      </c>
      <c r="B104" s="8"/>
      <c r="C104" s="4"/>
      <c r="D104" s="42" t="s">
        <v>126</v>
      </c>
      <c r="E104" s="32"/>
      <c r="F104" s="13">
        <f>4910.6</f>
        <v>4910.6000000000004</v>
      </c>
      <c r="G104" s="13" t="s">
        <v>113</v>
      </c>
      <c r="H104" s="33">
        <f>(20680.4+20680.4+20680.4+21147+21147+21147+21708.4+21708.4+21708.4+22391.4+22391.4+22391.4)/F104</f>
        <v>52.494929336537275</v>
      </c>
      <c r="I104" s="33">
        <f>F104*H104</f>
        <v>257781.59999999998</v>
      </c>
      <c r="J104" s="13" t="s">
        <v>116</v>
      </c>
      <c r="L104" s="2"/>
    </row>
    <row r="105" spans="1:12" ht="46.5" customHeight="1" x14ac:dyDescent="0.25">
      <c r="A105" s="9"/>
      <c r="B105" s="8"/>
      <c r="C105" s="4"/>
      <c r="D105" s="15" t="s">
        <v>111</v>
      </c>
      <c r="E105" s="32"/>
      <c r="F105" s="13">
        <v>2407</v>
      </c>
      <c r="G105" s="13" t="s">
        <v>30</v>
      </c>
      <c r="H105" s="33">
        <f>201070/F105</f>
        <v>83.535521395928541</v>
      </c>
      <c r="I105" s="33">
        <f>F105*H105</f>
        <v>201070</v>
      </c>
      <c r="J105" s="13" t="s">
        <v>118</v>
      </c>
      <c r="L105" s="2"/>
    </row>
    <row r="106" spans="1:12" ht="46.5" customHeight="1" x14ac:dyDescent="0.25">
      <c r="A106" s="9"/>
      <c r="B106" s="8"/>
      <c r="C106" s="4"/>
      <c r="D106" s="15" t="s">
        <v>112</v>
      </c>
      <c r="E106" s="41"/>
      <c r="F106" s="41">
        <v>300</v>
      </c>
      <c r="G106" s="13" t="s">
        <v>30</v>
      </c>
      <c r="H106" s="44">
        <f>25347.2/F106</f>
        <v>84.490666666666669</v>
      </c>
      <c r="I106" s="33">
        <f t="shared" ref="I106:I107" si="3">F106*H106</f>
        <v>25347.200000000001</v>
      </c>
      <c r="J106" s="13" t="s">
        <v>118</v>
      </c>
      <c r="L106" s="2"/>
    </row>
    <row r="107" spans="1:12" ht="46.5" customHeight="1" x14ac:dyDescent="0.25">
      <c r="A107" s="9"/>
      <c r="B107" s="8"/>
      <c r="C107" s="4"/>
      <c r="D107" s="15" t="s">
        <v>285</v>
      </c>
      <c r="E107" s="41"/>
      <c r="F107" s="41">
        <f>4</f>
        <v>4</v>
      </c>
      <c r="G107" s="13" t="s">
        <v>31</v>
      </c>
      <c r="H107" s="41">
        <f>5455.4/F107</f>
        <v>1363.85</v>
      </c>
      <c r="I107" s="58">
        <f t="shared" si="3"/>
        <v>5455.4</v>
      </c>
      <c r="J107" s="13" t="s">
        <v>116</v>
      </c>
      <c r="L107" s="2"/>
    </row>
    <row r="108" spans="1:12" ht="46.5" customHeight="1" x14ac:dyDescent="0.25">
      <c r="A108" s="9"/>
      <c r="B108" s="8"/>
      <c r="C108" s="4"/>
      <c r="D108" s="15" t="s">
        <v>176</v>
      </c>
      <c r="E108" s="41" t="s">
        <v>140</v>
      </c>
      <c r="F108" s="41" t="s">
        <v>140</v>
      </c>
      <c r="G108" s="13" t="s">
        <v>31</v>
      </c>
      <c r="H108" s="41" t="s">
        <v>140</v>
      </c>
      <c r="I108" s="41" t="s">
        <v>140</v>
      </c>
      <c r="J108" s="13"/>
      <c r="L108" s="2"/>
    </row>
    <row r="109" spans="1:12" ht="46.5" customHeight="1" x14ac:dyDescent="0.25">
      <c r="A109" s="9"/>
      <c r="B109" s="8"/>
      <c r="C109" s="4"/>
      <c r="D109" s="15" t="s">
        <v>177</v>
      </c>
      <c r="E109" s="41" t="s">
        <v>140</v>
      </c>
      <c r="F109" s="41" t="s">
        <v>140</v>
      </c>
      <c r="G109" s="13" t="s">
        <v>31</v>
      </c>
      <c r="H109" s="41" t="s">
        <v>140</v>
      </c>
      <c r="I109" s="41" t="s">
        <v>140</v>
      </c>
      <c r="J109" s="13"/>
      <c r="L109" s="2"/>
    </row>
    <row r="110" spans="1:12" ht="46.5" customHeight="1" x14ac:dyDescent="0.25">
      <c r="A110" s="9"/>
      <c r="B110" s="8"/>
      <c r="C110" s="4"/>
      <c r="D110" s="15" t="s">
        <v>159</v>
      </c>
      <c r="E110" s="41" t="s">
        <v>140</v>
      </c>
      <c r="F110" s="41" t="s">
        <v>140</v>
      </c>
      <c r="G110" s="13" t="s">
        <v>31</v>
      </c>
      <c r="H110" s="41" t="s">
        <v>140</v>
      </c>
      <c r="I110" s="41" t="s">
        <v>140</v>
      </c>
      <c r="J110" s="13"/>
      <c r="L110" s="2"/>
    </row>
    <row r="111" spans="1:12" ht="46.5" customHeight="1" x14ac:dyDescent="0.25">
      <c r="A111" s="9"/>
      <c r="B111" s="8"/>
      <c r="C111" s="4"/>
      <c r="D111" s="15" t="s">
        <v>201</v>
      </c>
      <c r="E111" s="41" t="s">
        <v>140</v>
      </c>
      <c r="F111" s="41" t="s">
        <v>140</v>
      </c>
      <c r="G111" s="13" t="s">
        <v>31</v>
      </c>
      <c r="H111" s="41" t="s">
        <v>140</v>
      </c>
      <c r="I111" s="41" t="s">
        <v>140</v>
      </c>
      <c r="J111" s="13"/>
      <c r="L111" s="2"/>
    </row>
    <row r="112" spans="1:12" ht="46.5" customHeight="1" x14ac:dyDescent="0.25">
      <c r="A112" s="9"/>
      <c r="B112" s="8"/>
      <c r="C112" s="4"/>
      <c r="D112" s="15" t="s">
        <v>288</v>
      </c>
      <c r="E112" s="41" t="s">
        <v>140</v>
      </c>
      <c r="F112" s="41">
        <f>1</f>
        <v>1</v>
      </c>
      <c r="G112" s="13" t="s">
        <v>31</v>
      </c>
      <c r="H112" s="41">
        <f>7860/F112</f>
        <v>7860</v>
      </c>
      <c r="I112" s="41">
        <f>F112*H112</f>
        <v>7860</v>
      </c>
      <c r="J112" s="13" t="s">
        <v>121</v>
      </c>
      <c r="L112" s="2"/>
    </row>
    <row r="113" spans="1:12" ht="46.5" customHeight="1" x14ac:dyDescent="0.25">
      <c r="A113" s="9"/>
      <c r="B113" s="8"/>
      <c r="C113" s="4"/>
      <c r="D113" s="15" t="s">
        <v>160</v>
      </c>
      <c r="E113" s="41" t="s">
        <v>140</v>
      </c>
      <c r="F113" s="41" t="s">
        <v>140</v>
      </c>
      <c r="G113" s="13" t="s">
        <v>31</v>
      </c>
      <c r="H113" s="41" t="s">
        <v>140</v>
      </c>
      <c r="I113" s="41" t="s">
        <v>140</v>
      </c>
      <c r="J113" s="13"/>
      <c r="L113" s="2"/>
    </row>
    <row r="114" spans="1:12" ht="46.5" customHeight="1" x14ac:dyDescent="0.25">
      <c r="A114" s="9"/>
      <c r="B114" s="8"/>
      <c r="C114" s="4"/>
      <c r="D114" s="15" t="s">
        <v>133</v>
      </c>
      <c r="E114" s="41"/>
      <c r="F114" s="41">
        <f>6</f>
        <v>6</v>
      </c>
      <c r="G114" s="13" t="s">
        <v>31</v>
      </c>
      <c r="H114" s="44">
        <f>7120/F114</f>
        <v>1186.6666666666667</v>
      </c>
      <c r="I114" s="55">
        <f t="shared" ref="I114" si="4">F114*H114</f>
        <v>7120</v>
      </c>
      <c r="J114" s="13" t="s">
        <v>118</v>
      </c>
      <c r="L114" s="2"/>
    </row>
    <row r="115" spans="1:12" ht="46.5" customHeight="1" x14ac:dyDescent="0.25">
      <c r="A115" s="9"/>
      <c r="B115" s="8"/>
      <c r="C115" s="4"/>
      <c r="D115" s="15" t="s">
        <v>190</v>
      </c>
      <c r="E115" s="41"/>
      <c r="F115" s="41"/>
      <c r="G115" s="13" t="s">
        <v>30</v>
      </c>
      <c r="H115" s="41"/>
      <c r="I115" s="44"/>
      <c r="J115" s="13"/>
      <c r="L115" s="2"/>
    </row>
    <row r="116" spans="1:12" ht="46.5" customHeight="1" x14ac:dyDescent="0.25">
      <c r="A116" s="9"/>
      <c r="B116" s="8"/>
      <c r="C116" s="4"/>
      <c r="D116" s="15" t="s">
        <v>179</v>
      </c>
      <c r="E116" s="41"/>
      <c r="F116" s="41">
        <f>1.5</f>
        <v>1.5</v>
      </c>
      <c r="G116" s="13" t="s">
        <v>30</v>
      </c>
      <c r="H116" s="41">
        <f>1711.2/F116</f>
        <v>1140.8</v>
      </c>
      <c r="I116" s="55">
        <f t="shared" ref="I116" si="5">F116*H116</f>
        <v>1711.1999999999998</v>
      </c>
      <c r="J116" s="13" t="s">
        <v>116</v>
      </c>
      <c r="L116" s="2"/>
    </row>
    <row r="117" spans="1:12" ht="46.5" customHeight="1" x14ac:dyDescent="0.25">
      <c r="A117" s="9"/>
      <c r="B117" s="8"/>
      <c r="C117" s="4"/>
      <c r="D117" s="15" t="s">
        <v>203</v>
      </c>
      <c r="E117" s="41" t="s">
        <v>140</v>
      </c>
      <c r="F117" s="41" t="s">
        <v>140</v>
      </c>
      <c r="G117" s="13" t="s">
        <v>30</v>
      </c>
      <c r="H117" s="41" t="s">
        <v>140</v>
      </c>
      <c r="I117" s="41" t="s">
        <v>140</v>
      </c>
      <c r="J117" s="13"/>
      <c r="L117" s="2"/>
    </row>
    <row r="118" spans="1:12" ht="46.5" customHeight="1" x14ac:dyDescent="0.25">
      <c r="A118" s="9"/>
      <c r="B118" s="8"/>
      <c r="C118" s="4"/>
      <c r="D118" s="15" t="s">
        <v>191</v>
      </c>
      <c r="E118" s="41" t="s">
        <v>140</v>
      </c>
      <c r="F118" s="41" t="s">
        <v>140</v>
      </c>
      <c r="G118" s="13" t="s">
        <v>30</v>
      </c>
      <c r="H118" s="41" t="s">
        <v>140</v>
      </c>
      <c r="I118" s="41" t="s">
        <v>140</v>
      </c>
      <c r="J118" s="13"/>
      <c r="L118" s="2"/>
    </row>
    <row r="119" spans="1:12" ht="46.5" customHeight="1" x14ac:dyDescent="0.25">
      <c r="A119" s="9"/>
      <c r="B119" s="8"/>
      <c r="C119" s="4"/>
      <c r="D119" s="15" t="s">
        <v>218</v>
      </c>
      <c r="E119" s="41" t="s">
        <v>140</v>
      </c>
      <c r="F119" s="41" t="s">
        <v>140</v>
      </c>
      <c r="G119" s="13" t="s">
        <v>219</v>
      </c>
      <c r="H119" s="41" t="s">
        <v>140</v>
      </c>
      <c r="I119" s="41" t="s">
        <v>140</v>
      </c>
      <c r="J119" s="13"/>
      <c r="L119" s="2"/>
    </row>
    <row r="120" spans="1:12" ht="46.5" customHeight="1" x14ac:dyDescent="0.25">
      <c r="A120" s="9"/>
      <c r="B120" s="8"/>
      <c r="C120" s="4"/>
      <c r="D120" s="15" t="s">
        <v>220</v>
      </c>
      <c r="E120" s="41" t="s">
        <v>140</v>
      </c>
      <c r="F120" s="41" t="s">
        <v>140</v>
      </c>
      <c r="G120" s="13" t="s">
        <v>219</v>
      </c>
      <c r="H120" s="41" t="s">
        <v>140</v>
      </c>
      <c r="I120" s="41" t="s">
        <v>140</v>
      </c>
      <c r="J120" s="13"/>
      <c r="L120" s="2"/>
    </row>
    <row r="121" spans="1:12" ht="46.5" customHeight="1" x14ac:dyDescent="0.25">
      <c r="A121" s="9"/>
      <c r="B121" s="8"/>
      <c r="C121" s="4"/>
      <c r="D121" s="15" t="s">
        <v>221</v>
      </c>
      <c r="E121" s="41" t="s">
        <v>140</v>
      </c>
      <c r="F121" s="41" t="s">
        <v>140</v>
      </c>
      <c r="G121" s="13" t="s">
        <v>149</v>
      </c>
      <c r="H121" s="41" t="s">
        <v>140</v>
      </c>
      <c r="I121" s="41" t="s">
        <v>140</v>
      </c>
      <c r="J121" s="13"/>
      <c r="L121" s="2"/>
    </row>
    <row r="122" spans="1:12" ht="46.5" customHeight="1" x14ac:dyDescent="0.25">
      <c r="A122" s="9"/>
      <c r="B122" s="8"/>
      <c r="C122" s="4"/>
      <c r="D122" s="15" t="s">
        <v>143</v>
      </c>
      <c r="E122" s="41" t="s">
        <v>140</v>
      </c>
      <c r="F122" s="41" t="s">
        <v>140</v>
      </c>
      <c r="G122" s="13" t="s">
        <v>31</v>
      </c>
      <c r="H122" s="41" t="s">
        <v>140</v>
      </c>
      <c r="I122" s="41" t="s">
        <v>140</v>
      </c>
      <c r="J122" s="13"/>
      <c r="L122" s="2"/>
    </row>
    <row r="123" spans="1:12" ht="46.5" customHeight="1" x14ac:dyDescent="0.25">
      <c r="A123" s="9"/>
      <c r="B123" s="8"/>
      <c r="C123" s="4"/>
      <c r="D123" s="15" t="s">
        <v>163</v>
      </c>
      <c r="E123" s="41" t="s">
        <v>140</v>
      </c>
      <c r="F123" s="41" t="s">
        <v>140</v>
      </c>
      <c r="G123" s="13" t="s">
        <v>164</v>
      </c>
      <c r="H123" s="41" t="s">
        <v>140</v>
      </c>
      <c r="I123" s="41" t="s">
        <v>140</v>
      </c>
      <c r="J123" s="13"/>
      <c r="L123" s="2"/>
    </row>
    <row r="124" spans="1:12" ht="31.5" x14ac:dyDescent="0.25">
      <c r="A124" s="9" t="s">
        <v>84</v>
      </c>
      <c r="B124" s="8"/>
      <c r="C124" s="4"/>
      <c r="D124" s="15" t="s">
        <v>161</v>
      </c>
      <c r="E124" s="41" t="s">
        <v>140</v>
      </c>
      <c r="F124" s="41" t="s">
        <v>140</v>
      </c>
      <c r="G124" s="13" t="s">
        <v>55</v>
      </c>
      <c r="H124" s="41" t="s">
        <v>140</v>
      </c>
      <c r="I124" s="41" t="s">
        <v>140</v>
      </c>
      <c r="J124" s="13"/>
      <c r="L124" s="2"/>
    </row>
    <row r="125" spans="1:12" ht="31.5" x14ac:dyDescent="0.25">
      <c r="A125" s="9"/>
      <c r="B125" s="8"/>
      <c r="C125" s="4"/>
      <c r="D125" s="15" t="s">
        <v>162</v>
      </c>
      <c r="E125" s="41" t="s">
        <v>140</v>
      </c>
      <c r="F125" s="41" t="s">
        <v>140</v>
      </c>
      <c r="G125" s="13" t="s">
        <v>55</v>
      </c>
      <c r="H125" s="41" t="s">
        <v>140</v>
      </c>
      <c r="I125" s="41" t="s">
        <v>140</v>
      </c>
      <c r="J125" s="13"/>
      <c r="L125" s="2"/>
    </row>
    <row r="126" spans="1:12" ht="31.5" x14ac:dyDescent="0.25">
      <c r="A126" s="9"/>
      <c r="B126" s="8"/>
      <c r="C126" s="4"/>
      <c r="D126" s="15" t="s">
        <v>178</v>
      </c>
      <c r="E126" s="41"/>
      <c r="F126" s="41">
        <f>2</f>
        <v>2</v>
      </c>
      <c r="G126" s="13" t="s">
        <v>31</v>
      </c>
      <c r="H126" s="41">
        <f>2611.2/F126</f>
        <v>1305.5999999999999</v>
      </c>
      <c r="I126" s="55">
        <f>F126*H126</f>
        <v>2611.1999999999998</v>
      </c>
      <c r="J126" s="13" t="s">
        <v>116</v>
      </c>
      <c r="L126" s="2"/>
    </row>
    <row r="127" spans="1:12" ht="18.75" x14ac:dyDescent="0.25">
      <c r="A127" s="9"/>
      <c r="B127" s="8"/>
      <c r="C127" s="4"/>
      <c r="D127" s="15" t="s">
        <v>207</v>
      </c>
      <c r="E127" s="41"/>
      <c r="F127" s="41"/>
      <c r="G127" s="13" t="s">
        <v>31</v>
      </c>
      <c r="H127" s="41" t="s">
        <v>140</v>
      </c>
      <c r="I127" s="41" t="s">
        <v>140</v>
      </c>
      <c r="J127" s="13"/>
      <c r="L127" s="2"/>
    </row>
    <row r="128" spans="1:12" ht="18.75" x14ac:dyDescent="0.25">
      <c r="A128" s="9"/>
      <c r="B128" s="8"/>
      <c r="C128" s="4"/>
      <c r="D128" s="15" t="s">
        <v>241</v>
      </c>
      <c r="E128" s="41"/>
      <c r="F128" s="41"/>
      <c r="G128" s="13" t="s">
        <v>31</v>
      </c>
      <c r="H128" s="41"/>
      <c r="I128" s="41"/>
      <c r="J128" s="13"/>
      <c r="L128" s="2"/>
    </row>
    <row r="129" spans="1:12" ht="31.5" x14ac:dyDescent="0.25">
      <c r="A129" s="9"/>
      <c r="B129" s="8"/>
      <c r="C129" s="4"/>
      <c r="D129" s="15" t="s">
        <v>180</v>
      </c>
      <c r="E129" s="41"/>
      <c r="F129" s="41"/>
      <c r="G129" s="13" t="s">
        <v>31</v>
      </c>
      <c r="H129" s="41"/>
      <c r="I129" s="41"/>
      <c r="J129" s="13"/>
      <c r="L129" s="2"/>
    </row>
    <row r="130" spans="1:12" ht="18.75" x14ac:dyDescent="0.25">
      <c r="A130" s="9"/>
      <c r="B130" s="8"/>
      <c r="C130" s="4"/>
      <c r="D130" s="15" t="s">
        <v>163</v>
      </c>
      <c r="E130" s="41" t="s">
        <v>140</v>
      </c>
      <c r="F130" s="41" t="s">
        <v>140</v>
      </c>
      <c r="G130" s="13" t="s">
        <v>164</v>
      </c>
      <c r="H130" s="41" t="s">
        <v>140</v>
      </c>
      <c r="I130" s="41" t="s">
        <v>140</v>
      </c>
      <c r="J130" s="13"/>
      <c r="L130" s="2"/>
    </row>
    <row r="131" spans="1:12" ht="18.75" x14ac:dyDescent="0.25">
      <c r="A131" s="9"/>
      <c r="B131" s="8"/>
      <c r="C131" s="4"/>
      <c r="D131" s="15" t="s">
        <v>163</v>
      </c>
      <c r="E131" s="41" t="s">
        <v>140</v>
      </c>
      <c r="F131" s="41" t="s">
        <v>140</v>
      </c>
      <c r="G131" s="13" t="s">
        <v>164</v>
      </c>
      <c r="H131" s="41" t="s">
        <v>140</v>
      </c>
      <c r="I131" s="41" t="s">
        <v>140</v>
      </c>
      <c r="J131" s="13"/>
      <c r="L131" s="2"/>
    </row>
    <row r="132" spans="1:12" ht="18.75" x14ac:dyDescent="0.25">
      <c r="A132" s="9" t="s">
        <v>20</v>
      </c>
      <c r="B132" s="8"/>
      <c r="C132" s="4"/>
      <c r="D132" s="15" t="s">
        <v>69</v>
      </c>
      <c r="E132" s="41" t="s">
        <v>140</v>
      </c>
      <c r="F132" s="41" t="s">
        <v>140</v>
      </c>
      <c r="G132" s="13" t="s">
        <v>30</v>
      </c>
      <c r="H132" s="41" t="s">
        <v>140</v>
      </c>
      <c r="I132" s="41" t="s">
        <v>140</v>
      </c>
      <c r="J132" s="13"/>
      <c r="L132" s="2"/>
    </row>
    <row r="133" spans="1:12" ht="31.5" x14ac:dyDescent="0.25">
      <c r="A133" s="9" t="s">
        <v>21</v>
      </c>
      <c r="B133" s="8"/>
      <c r="C133" s="4"/>
      <c r="D133" s="15" t="s">
        <v>71</v>
      </c>
      <c r="E133" s="41" t="s">
        <v>140</v>
      </c>
      <c r="F133" s="41" t="s">
        <v>140</v>
      </c>
      <c r="G133" s="13" t="s">
        <v>145</v>
      </c>
      <c r="H133" s="41" t="s">
        <v>140</v>
      </c>
      <c r="I133" s="41" t="s">
        <v>140</v>
      </c>
      <c r="J133" s="13"/>
      <c r="L133" s="2"/>
    </row>
    <row r="134" spans="1:12" ht="18.75" x14ac:dyDescent="0.25">
      <c r="A134" s="9"/>
      <c r="B134" s="8"/>
      <c r="C134" s="4"/>
      <c r="D134" s="15" t="s">
        <v>289</v>
      </c>
      <c r="E134" s="41"/>
      <c r="F134" s="41">
        <f>1</f>
        <v>1</v>
      </c>
      <c r="G134" s="13" t="s">
        <v>290</v>
      </c>
      <c r="H134" s="41">
        <f>7850/F134</f>
        <v>7850</v>
      </c>
      <c r="I134" s="55">
        <f>F134*H134</f>
        <v>7850</v>
      </c>
      <c r="J134" s="13"/>
      <c r="L134" s="2"/>
    </row>
    <row r="135" spans="1:12" ht="18.75" x14ac:dyDescent="0.25">
      <c r="A135" s="46"/>
      <c r="B135" s="47"/>
      <c r="C135" s="22"/>
      <c r="D135" s="30"/>
      <c r="E135" s="45"/>
      <c r="F135" s="45"/>
      <c r="G135" s="31"/>
      <c r="H135" s="41"/>
      <c r="I135" s="44">
        <f>SUM(I104:I134)</f>
        <v>516806.60000000003</v>
      </c>
      <c r="J135" s="13"/>
      <c r="L135" s="2"/>
    </row>
    <row r="136" spans="1:12" ht="18.75" x14ac:dyDescent="0.3">
      <c r="A136" s="65" t="s">
        <v>72</v>
      </c>
      <c r="B136" s="66"/>
      <c r="C136" s="66"/>
      <c r="D136" s="66"/>
      <c r="E136" s="66"/>
      <c r="F136" s="66"/>
      <c r="G136" s="67"/>
      <c r="H136" s="19"/>
      <c r="I136" s="5"/>
      <c r="J136" s="13"/>
      <c r="L136" s="2"/>
    </row>
    <row r="137" spans="1:12" ht="37.5" x14ac:dyDescent="0.25">
      <c r="A137" s="9" t="s">
        <v>93</v>
      </c>
      <c r="B137" s="8"/>
      <c r="C137" s="4"/>
      <c r="D137" s="4" t="s">
        <v>128</v>
      </c>
      <c r="E137" s="31"/>
      <c r="F137" s="13">
        <f>4+4+8+4+4+4+4+4+2+24+4+2</f>
        <v>68</v>
      </c>
      <c r="G137" s="13" t="s">
        <v>115</v>
      </c>
      <c r="H137" s="33">
        <f>(2527.8+2527.8+5052.4+2584.8+2584.8+2584.8+2653.4+2653.4+1325.2+16416.2+2737+1367)/F137/3</f>
        <v>220.65980392156868</v>
      </c>
      <c r="I137" s="33">
        <f>F137*H137</f>
        <v>15004.86666666667</v>
      </c>
      <c r="J137" s="13" t="s">
        <v>116</v>
      </c>
      <c r="L137" s="2"/>
    </row>
    <row r="138" spans="1:12" ht="18.75" x14ac:dyDescent="0.25">
      <c r="A138" s="9"/>
      <c r="B138" s="8"/>
      <c r="C138" s="4"/>
      <c r="D138" s="15" t="s">
        <v>153</v>
      </c>
      <c r="E138" s="41"/>
      <c r="F138" s="41"/>
      <c r="G138" s="13" t="s">
        <v>31</v>
      </c>
      <c r="H138" s="41"/>
      <c r="I138" s="41" t="s">
        <v>140</v>
      </c>
      <c r="J138" s="13"/>
      <c r="L138" s="2"/>
    </row>
    <row r="139" spans="1:12" ht="31.5" x14ac:dyDescent="0.25">
      <c r="A139" s="9"/>
      <c r="B139" s="8"/>
      <c r="C139" s="4"/>
      <c r="D139" s="15" t="s">
        <v>170</v>
      </c>
      <c r="E139" s="31"/>
      <c r="F139" s="31">
        <f>2</f>
        <v>2</v>
      </c>
      <c r="G139" s="13" t="s">
        <v>156</v>
      </c>
      <c r="H139" s="31">
        <f>12596.2/F139</f>
        <v>6298.1</v>
      </c>
      <c r="I139" s="59">
        <f t="shared" ref="I139" si="6">F139*H139</f>
        <v>12596.2</v>
      </c>
      <c r="J139" s="13" t="s">
        <v>275</v>
      </c>
      <c r="L139" s="2"/>
    </row>
    <row r="140" spans="1:12" ht="31.5" x14ac:dyDescent="0.25">
      <c r="A140" s="9"/>
      <c r="B140" s="8"/>
      <c r="C140" s="4"/>
      <c r="D140" s="15" t="s">
        <v>169</v>
      </c>
      <c r="E140" s="41"/>
      <c r="F140" s="41">
        <f>1</f>
        <v>1</v>
      </c>
      <c r="G140" s="13" t="s">
        <v>156</v>
      </c>
      <c r="H140" s="41">
        <f>6456.8/F140</f>
        <v>6456.8</v>
      </c>
      <c r="I140" s="55">
        <f>F140*H140</f>
        <v>6456.8</v>
      </c>
      <c r="J140" s="13" t="s">
        <v>122</v>
      </c>
      <c r="L140" s="2"/>
    </row>
    <row r="141" spans="1:12" ht="31.5" x14ac:dyDescent="0.25">
      <c r="A141" s="9"/>
      <c r="B141" s="8"/>
      <c r="C141" s="4"/>
      <c r="D141" s="15" t="s">
        <v>172</v>
      </c>
      <c r="E141" s="41"/>
      <c r="F141" s="41">
        <v>4</v>
      </c>
      <c r="G141" s="13" t="s">
        <v>30</v>
      </c>
      <c r="H141" s="41">
        <f>1198/F141</f>
        <v>299.5</v>
      </c>
      <c r="I141" s="55">
        <f>F141*H141</f>
        <v>1198</v>
      </c>
      <c r="J141" s="13" t="s">
        <v>116</v>
      </c>
      <c r="L141" s="2"/>
    </row>
    <row r="142" spans="1:12" ht="78.75" x14ac:dyDescent="0.25">
      <c r="A142" s="9"/>
      <c r="B142" s="8"/>
      <c r="C142" s="4"/>
      <c r="D142" s="15" t="s">
        <v>173</v>
      </c>
      <c r="E142" s="41"/>
      <c r="F142" s="41">
        <f>4</f>
        <v>4</v>
      </c>
      <c r="G142" s="13" t="s">
        <v>171</v>
      </c>
      <c r="H142" s="41">
        <f>159.4/F142</f>
        <v>39.85</v>
      </c>
      <c r="I142" s="55">
        <f t="shared" ref="I142:I143" si="7">F142*H142</f>
        <v>159.4</v>
      </c>
      <c r="J142" s="13" t="s">
        <v>116</v>
      </c>
      <c r="L142" s="2"/>
    </row>
    <row r="143" spans="1:12" ht="47.25" x14ac:dyDescent="0.25">
      <c r="A143" s="9"/>
      <c r="B143" s="8"/>
      <c r="C143" s="4"/>
      <c r="D143" s="15" t="s">
        <v>174</v>
      </c>
      <c r="E143" s="41"/>
      <c r="F143" s="41">
        <v>4</v>
      </c>
      <c r="G143" s="13" t="s">
        <v>30</v>
      </c>
      <c r="H143" s="41">
        <f>2426.8/F143</f>
        <v>606.70000000000005</v>
      </c>
      <c r="I143" s="55">
        <f t="shared" si="7"/>
        <v>2426.8000000000002</v>
      </c>
      <c r="J143" s="13" t="s">
        <v>116</v>
      </c>
      <c r="L143" s="2"/>
    </row>
    <row r="144" spans="1:12" ht="31.5" x14ac:dyDescent="0.25">
      <c r="A144" s="9"/>
      <c r="B144" s="8"/>
      <c r="C144" s="4"/>
      <c r="D144" s="15" t="s">
        <v>182</v>
      </c>
      <c r="E144" s="41"/>
      <c r="F144" s="41"/>
      <c r="G144" s="13" t="s">
        <v>156</v>
      </c>
      <c r="H144" s="41" t="s">
        <v>140</v>
      </c>
      <c r="I144" s="41" t="s">
        <v>140</v>
      </c>
      <c r="J144" s="13"/>
      <c r="L144" s="2"/>
    </row>
    <row r="145" spans="1:12" ht="31.5" x14ac:dyDescent="0.25">
      <c r="A145" s="9"/>
      <c r="B145" s="8"/>
      <c r="C145" s="4"/>
      <c r="D145" s="15" t="s">
        <v>193</v>
      </c>
      <c r="E145" s="31"/>
      <c r="F145" s="31"/>
      <c r="G145" s="13" t="s">
        <v>156</v>
      </c>
      <c r="H145" s="31"/>
      <c r="I145" s="31"/>
      <c r="J145" s="13"/>
      <c r="L145" s="2"/>
    </row>
    <row r="146" spans="1:12" ht="31.5" x14ac:dyDescent="0.25">
      <c r="A146" s="9"/>
      <c r="B146" s="8"/>
      <c r="C146" s="4"/>
      <c r="D146" s="15" t="s">
        <v>192</v>
      </c>
      <c r="E146" s="41" t="s">
        <v>140</v>
      </c>
      <c r="F146" s="41" t="s">
        <v>140</v>
      </c>
      <c r="G146" s="13" t="s">
        <v>30</v>
      </c>
      <c r="H146" s="41" t="s">
        <v>140</v>
      </c>
      <c r="I146" s="41" t="s">
        <v>140</v>
      </c>
      <c r="J146" s="13"/>
      <c r="L146" s="2"/>
    </row>
    <row r="147" spans="1:12" ht="31.5" x14ac:dyDescent="0.25">
      <c r="A147" s="9"/>
      <c r="B147" s="8"/>
      <c r="C147" s="4"/>
      <c r="D147" s="15" t="s">
        <v>274</v>
      </c>
      <c r="E147" s="41" t="s">
        <v>140</v>
      </c>
      <c r="F147" s="41">
        <v>2</v>
      </c>
      <c r="G147" s="13" t="s">
        <v>30</v>
      </c>
      <c r="H147" s="41">
        <f>5559.6/F147</f>
        <v>2779.8</v>
      </c>
      <c r="I147" s="55">
        <f>F147*H147</f>
        <v>5559.6</v>
      </c>
      <c r="J147" s="13" t="s">
        <v>122</v>
      </c>
      <c r="L147" s="2"/>
    </row>
    <row r="148" spans="1:12" ht="31.5" x14ac:dyDescent="0.25">
      <c r="A148" s="9"/>
      <c r="B148" s="8"/>
      <c r="C148" s="4"/>
      <c r="D148" s="15" t="s">
        <v>205</v>
      </c>
      <c r="E148" s="41" t="s">
        <v>140</v>
      </c>
      <c r="F148" s="41">
        <f>3</f>
        <v>3</v>
      </c>
      <c r="G148" s="13" t="s">
        <v>30</v>
      </c>
      <c r="H148" s="41">
        <f>5716.8/F148</f>
        <v>1905.6000000000001</v>
      </c>
      <c r="I148" s="55">
        <f>F148*H148</f>
        <v>5716.8</v>
      </c>
      <c r="J148" s="13" t="s">
        <v>122</v>
      </c>
      <c r="L148" s="2"/>
    </row>
    <row r="149" spans="1:12" ht="31.5" x14ac:dyDescent="0.25">
      <c r="A149" s="9"/>
      <c r="B149" s="8"/>
      <c r="C149" s="4"/>
      <c r="D149" s="15" t="s">
        <v>242</v>
      </c>
      <c r="E149" s="41"/>
      <c r="F149" s="41">
        <f>0.5</f>
        <v>0.5</v>
      </c>
      <c r="G149" s="13" t="s">
        <v>30</v>
      </c>
      <c r="H149" s="41">
        <f>749/F149</f>
        <v>1498</v>
      </c>
      <c r="I149" s="55">
        <f t="shared" ref="I149" si="8">F149*H149</f>
        <v>749</v>
      </c>
      <c r="J149" s="13" t="s">
        <v>204</v>
      </c>
      <c r="L149" s="2"/>
    </row>
    <row r="150" spans="1:12" ht="31.5" x14ac:dyDescent="0.25">
      <c r="A150" s="9"/>
      <c r="B150" s="8"/>
      <c r="C150" s="4"/>
      <c r="D150" s="15" t="s">
        <v>146</v>
      </c>
      <c r="E150" s="41"/>
      <c r="F150" s="41"/>
      <c r="G150" s="13" t="s">
        <v>30</v>
      </c>
      <c r="H150" s="41" t="s">
        <v>140</v>
      </c>
      <c r="I150" s="41" t="s">
        <v>140</v>
      </c>
      <c r="J150" s="13"/>
      <c r="L150" s="2"/>
    </row>
    <row r="151" spans="1:12" ht="18.75" x14ac:dyDescent="0.25">
      <c r="A151" s="9"/>
      <c r="B151" s="8"/>
      <c r="C151" s="4"/>
      <c r="D151" s="15" t="s">
        <v>194</v>
      </c>
      <c r="E151" s="41"/>
      <c r="F151" s="41"/>
      <c r="G151" s="13" t="s">
        <v>31</v>
      </c>
      <c r="H151" s="41" t="s">
        <v>140</v>
      </c>
      <c r="I151" s="41" t="s">
        <v>140</v>
      </c>
      <c r="J151" s="13"/>
      <c r="L151" s="2"/>
    </row>
    <row r="152" spans="1:12" ht="18.75" x14ac:dyDescent="0.25">
      <c r="A152" s="9"/>
      <c r="B152" s="8"/>
      <c r="C152" s="4"/>
      <c r="D152" s="15" t="s">
        <v>195</v>
      </c>
      <c r="E152" s="41"/>
      <c r="F152" s="41"/>
      <c r="G152" s="13" t="s">
        <v>31</v>
      </c>
      <c r="H152" s="41" t="s">
        <v>140</v>
      </c>
      <c r="I152" s="41" t="s">
        <v>140</v>
      </c>
      <c r="J152" s="13"/>
      <c r="L152" s="2"/>
    </row>
    <row r="153" spans="1:12" ht="18.75" x14ac:dyDescent="0.25">
      <c r="A153" s="9" t="s">
        <v>84</v>
      </c>
      <c r="B153" s="8"/>
      <c r="C153" s="4"/>
      <c r="D153" s="15" t="s">
        <v>70</v>
      </c>
      <c r="E153" s="41"/>
      <c r="F153" s="41"/>
      <c r="G153" s="13" t="s">
        <v>55</v>
      </c>
      <c r="H153" s="41" t="s">
        <v>140</v>
      </c>
      <c r="I153" s="41" t="s">
        <v>140</v>
      </c>
      <c r="J153" s="13"/>
      <c r="L153" s="2"/>
    </row>
    <row r="154" spans="1:12" ht="31.5" x14ac:dyDescent="0.25">
      <c r="A154" s="9"/>
      <c r="B154" s="8"/>
      <c r="C154" s="4"/>
      <c r="D154" s="15" t="s">
        <v>180</v>
      </c>
      <c r="E154" s="41"/>
      <c r="F154" s="41">
        <f>2</f>
        <v>2</v>
      </c>
      <c r="G154" s="13" t="s">
        <v>31</v>
      </c>
      <c r="H154" s="41">
        <f>43335/F154</f>
        <v>21667.5</v>
      </c>
      <c r="I154" s="55">
        <f>F154*H154</f>
        <v>43335</v>
      </c>
      <c r="J154" s="13" t="s">
        <v>118</v>
      </c>
      <c r="L154" s="2"/>
    </row>
    <row r="155" spans="1:12" ht="31.5" x14ac:dyDescent="0.25">
      <c r="A155" s="9"/>
      <c r="B155" s="8"/>
      <c r="C155" s="4"/>
      <c r="D155" s="15" t="s">
        <v>240</v>
      </c>
      <c r="E155" s="41"/>
      <c r="F155" s="41">
        <f>2</f>
        <v>2</v>
      </c>
      <c r="G155" s="13" t="s">
        <v>31</v>
      </c>
      <c r="H155" s="41">
        <f>1901.6/F155</f>
        <v>950.8</v>
      </c>
      <c r="I155" s="55">
        <f>F155*H155</f>
        <v>1901.6</v>
      </c>
      <c r="J155" s="13" t="s">
        <v>116</v>
      </c>
      <c r="L155" s="2"/>
    </row>
    <row r="156" spans="1:12" ht="31.5" x14ac:dyDescent="0.25">
      <c r="A156" s="9" t="s">
        <v>21</v>
      </c>
      <c r="B156" s="8"/>
      <c r="C156" s="4"/>
      <c r="D156" s="15" t="s">
        <v>71</v>
      </c>
      <c r="E156" s="41" t="s">
        <v>140</v>
      </c>
      <c r="F156" s="41" t="s">
        <v>140</v>
      </c>
      <c r="G156" s="13" t="s">
        <v>145</v>
      </c>
      <c r="H156" s="41" t="s">
        <v>140</v>
      </c>
      <c r="I156" s="41" t="s">
        <v>140</v>
      </c>
      <c r="J156" s="13"/>
      <c r="L156" s="2"/>
    </row>
    <row r="157" spans="1:12" ht="18.75" x14ac:dyDescent="0.25">
      <c r="A157" s="46"/>
      <c r="B157" s="47"/>
      <c r="C157" s="22"/>
      <c r="D157" s="30"/>
      <c r="E157" s="45"/>
      <c r="F157" s="45"/>
      <c r="G157" s="31"/>
      <c r="H157" s="41"/>
      <c r="I157" s="44">
        <f>SUM(I137:I156)</f>
        <v>95104.06666666668</v>
      </c>
      <c r="J157" s="13"/>
      <c r="L157" s="2"/>
    </row>
    <row r="158" spans="1:12" ht="18.75" x14ac:dyDescent="0.3">
      <c r="A158" s="65" t="s">
        <v>73</v>
      </c>
      <c r="B158" s="66"/>
      <c r="C158" s="66"/>
      <c r="D158" s="66"/>
      <c r="E158" s="66"/>
      <c r="F158" s="66"/>
      <c r="G158" s="67"/>
      <c r="H158" s="13"/>
      <c r="I158" s="5"/>
      <c r="J158" s="13"/>
      <c r="L158" s="2"/>
    </row>
    <row r="159" spans="1:12" ht="37.5" x14ac:dyDescent="0.25">
      <c r="A159" s="9" t="s">
        <v>93</v>
      </c>
      <c r="B159" s="8"/>
      <c r="C159" s="4"/>
      <c r="D159" s="4" t="s">
        <v>129</v>
      </c>
      <c r="E159" s="31"/>
      <c r="F159" s="13">
        <f>4+4+8+4+4+4+4+4+2+24+4+2</f>
        <v>68</v>
      </c>
      <c r="G159" s="13" t="s">
        <v>115</v>
      </c>
      <c r="H159" s="33">
        <f>(2527.8+2527.8+5052.4+2584.8+2584.8+2584.8+2653.4+2653.4+1325.2+16416.2+2737+1367)/F159/3</f>
        <v>220.65980392156868</v>
      </c>
      <c r="I159" s="33">
        <f>F159*H159</f>
        <v>15004.86666666667</v>
      </c>
      <c r="J159" s="13" t="s">
        <v>116</v>
      </c>
      <c r="L159" s="2"/>
    </row>
    <row r="160" spans="1:12" ht="31.5" x14ac:dyDescent="0.25">
      <c r="A160" s="9"/>
      <c r="B160" s="8"/>
      <c r="C160" s="4"/>
      <c r="D160" s="15" t="s">
        <v>189</v>
      </c>
      <c r="E160" s="41"/>
      <c r="F160" s="41"/>
      <c r="G160" s="13" t="s">
        <v>30</v>
      </c>
      <c r="H160" s="41"/>
      <c r="I160" s="41"/>
      <c r="J160" s="13"/>
      <c r="L160" s="2"/>
    </row>
    <row r="161" spans="1:12" ht="31.5" x14ac:dyDescent="0.25">
      <c r="A161" s="9"/>
      <c r="B161" s="8"/>
      <c r="C161" s="4"/>
      <c r="D161" s="15" t="s">
        <v>243</v>
      </c>
      <c r="E161" s="41"/>
      <c r="F161" s="41"/>
      <c r="G161" s="13" t="s">
        <v>30</v>
      </c>
      <c r="H161" s="41"/>
      <c r="I161" s="41"/>
      <c r="J161" s="13"/>
      <c r="L161" s="2"/>
    </row>
    <row r="162" spans="1:12" ht="31.5" x14ac:dyDescent="0.25">
      <c r="A162" s="9"/>
      <c r="B162" s="8"/>
      <c r="C162" s="4"/>
      <c r="D162" s="15" t="s">
        <v>172</v>
      </c>
      <c r="E162" s="41"/>
      <c r="F162" s="41">
        <f>2+6</f>
        <v>8</v>
      </c>
      <c r="G162" s="13" t="s">
        <v>30</v>
      </c>
      <c r="H162" s="41">
        <f>(601.8+1905.8)/F162</f>
        <v>313.45</v>
      </c>
      <c r="I162" s="55">
        <f>F162*H162</f>
        <v>2507.6</v>
      </c>
      <c r="J162" s="13" t="s">
        <v>116</v>
      </c>
      <c r="L162" s="2"/>
    </row>
    <row r="163" spans="1:12" ht="47.25" x14ac:dyDescent="0.25">
      <c r="A163" s="9"/>
      <c r="B163" s="8"/>
      <c r="C163" s="4"/>
      <c r="D163" s="15" t="s">
        <v>197</v>
      </c>
      <c r="E163" s="41"/>
      <c r="F163" s="41"/>
      <c r="G163" s="13" t="s">
        <v>149</v>
      </c>
      <c r="H163" s="41" t="s">
        <v>140</v>
      </c>
      <c r="I163" s="41" t="s">
        <v>140</v>
      </c>
      <c r="J163" s="13"/>
      <c r="L163" s="2"/>
    </row>
    <row r="164" spans="1:12" ht="47.25" x14ac:dyDescent="0.25">
      <c r="A164" s="9"/>
      <c r="B164" s="8"/>
      <c r="C164" s="4"/>
      <c r="D164" s="15" t="s">
        <v>196</v>
      </c>
      <c r="E164" s="41"/>
      <c r="F164" s="41"/>
      <c r="G164" s="13" t="s">
        <v>149</v>
      </c>
      <c r="H164" s="41" t="s">
        <v>140</v>
      </c>
      <c r="I164" s="41" t="s">
        <v>140</v>
      </c>
      <c r="J164" s="13"/>
      <c r="L164" s="2"/>
    </row>
    <row r="165" spans="1:12" ht="78.75" x14ac:dyDescent="0.25">
      <c r="A165" s="9"/>
      <c r="B165" s="8"/>
      <c r="C165" s="4"/>
      <c r="D165" s="15" t="s">
        <v>217</v>
      </c>
      <c r="E165" s="41"/>
      <c r="F165" s="41"/>
      <c r="G165" s="13" t="s">
        <v>171</v>
      </c>
      <c r="H165" s="41"/>
      <c r="I165" s="41"/>
      <c r="J165" s="13"/>
      <c r="L165" s="2"/>
    </row>
    <row r="166" spans="1:12" ht="47.25" x14ac:dyDescent="0.25">
      <c r="A166" s="9"/>
      <c r="B166" s="8"/>
      <c r="C166" s="4"/>
      <c r="D166" s="15" t="s">
        <v>155</v>
      </c>
      <c r="E166" s="41"/>
      <c r="F166" s="41"/>
      <c r="G166" s="13" t="s">
        <v>30</v>
      </c>
      <c r="H166" s="41"/>
      <c r="I166" s="41"/>
      <c r="J166" s="13"/>
      <c r="L166" s="2"/>
    </row>
    <row r="167" spans="1:12" ht="78.75" x14ac:dyDescent="0.25">
      <c r="A167" s="9"/>
      <c r="B167" s="8"/>
      <c r="C167" s="4"/>
      <c r="D167" s="15" t="s">
        <v>173</v>
      </c>
      <c r="E167" s="41"/>
      <c r="F167" s="41">
        <f>3+6</f>
        <v>9</v>
      </c>
      <c r="G167" s="13" t="s">
        <v>171</v>
      </c>
      <c r="H167" s="44">
        <f>(118.6+251.2)/F167</f>
        <v>41.088888888888881</v>
      </c>
      <c r="I167" s="55">
        <f t="shared" ref="I167:I168" si="9">F167*H167</f>
        <v>369.79999999999995</v>
      </c>
      <c r="J167" s="13" t="s">
        <v>116</v>
      </c>
      <c r="L167" s="2"/>
    </row>
    <row r="168" spans="1:12" ht="47.25" x14ac:dyDescent="0.25">
      <c r="A168" s="9"/>
      <c r="B168" s="8"/>
      <c r="C168" s="4"/>
      <c r="D168" s="15" t="s">
        <v>295</v>
      </c>
      <c r="E168" s="41"/>
      <c r="F168" s="41">
        <f>2+6</f>
        <v>8</v>
      </c>
      <c r="G168" s="13" t="s">
        <v>30</v>
      </c>
      <c r="H168" s="41">
        <f>(1237.4+6890.6)/F168</f>
        <v>1016</v>
      </c>
      <c r="I168" s="55">
        <f t="shared" si="9"/>
        <v>8128</v>
      </c>
      <c r="J168" s="13" t="s">
        <v>116</v>
      </c>
      <c r="L168" s="2"/>
    </row>
    <row r="169" spans="1:12" ht="47.25" x14ac:dyDescent="0.25">
      <c r="A169" s="9"/>
      <c r="B169" s="8"/>
      <c r="C169" s="4"/>
      <c r="D169" s="15" t="s">
        <v>272</v>
      </c>
      <c r="E169" s="41" t="s">
        <v>140</v>
      </c>
      <c r="F169" s="41" t="s">
        <v>140</v>
      </c>
      <c r="G169" s="13" t="s">
        <v>30</v>
      </c>
      <c r="H169" s="41" t="s">
        <v>140</v>
      </c>
      <c r="I169" s="41" t="s">
        <v>140</v>
      </c>
      <c r="J169" s="13"/>
      <c r="L169" s="2"/>
    </row>
    <row r="170" spans="1:12" ht="31.5" x14ac:dyDescent="0.25">
      <c r="A170" s="9"/>
      <c r="B170" s="8"/>
      <c r="C170" s="4"/>
      <c r="D170" s="15" t="s">
        <v>192</v>
      </c>
      <c r="E170" s="41" t="s">
        <v>140</v>
      </c>
      <c r="F170" s="41" t="s">
        <v>140</v>
      </c>
      <c r="G170" s="13" t="s">
        <v>30</v>
      </c>
      <c r="H170" s="41" t="s">
        <v>140</v>
      </c>
      <c r="I170" s="41" t="s">
        <v>140</v>
      </c>
      <c r="J170" s="13"/>
      <c r="L170" s="2"/>
    </row>
    <row r="171" spans="1:12" ht="31.5" x14ac:dyDescent="0.25">
      <c r="A171" s="9"/>
      <c r="B171" s="8"/>
      <c r="C171" s="4"/>
      <c r="D171" s="15" t="s">
        <v>206</v>
      </c>
      <c r="E171" s="41" t="s">
        <v>140</v>
      </c>
      <c r="F171" s="41" t="s">
        <v>140</v>
      </c>
      <c r="G171" s="13" t="s">
        <v>30</v>
      </c>
      <c r="H171" s="41" t="s">
        <v>140</v>
      </c>
      <c r="I171" s="41" t="s">
        <v>140</v>
      </c>
      <c r="J171" s="13"/>
      <c r="L171" s="2"/>
    </row>
    <row r="172" spans="1:12" ht="31.5" x14ac:dyDescent="0.25">
      <c r="A172" s="9"/>
      <c r="B172" s="8"/>
      <c r="C172" s="4"/>
      <c r="D172" s="15" t="s">
        <v>170</v>
      </c>
      <c r="E172" s="41" t="s">
        <v>140</v>
      </c>
      <c r="F172" s="41">
        <f>1</f>
        <v>1</v>
      </c>
      <c r="G172" s="13" t="s">
        <v>156</v>
      </c>
      <c r="H172" s="41">
        <f>6789.6/F172</f>
        <v>6789.6</v>
      </c>
      <c r="I172" s="55">
        <f>F172*H172</f>
        <v>6789.6</v>
      </c>
      <c r="J172" s="13" t="s">
        <v>121</v>
      </c>
      <c r="L172" s="2"/>
    </row>
    <row r="173" spans="1:12" ht="31.5" x14ac:dyDescent="0.25">
      <c r="A173" s="9"/>
      <c r="B173" s="8"/>
      <c r="C173" s="4"/>
      <c r="D173" s="15" t="s">
        <v>169</v>
      </c>
      <c r="E173" s="41" t="s">
        <v>140</v>
      </c>
      <c r="F173" s="41">
        <f>1</f>
        <v>1</v>
      </c>
      <c r="G173" s="13" t="s">
        <v>156</v>
      </c>
      <c r="H173" s="41">
        <f>6819.6/F173</f>
        <v>6819.6</v>
      </c>
      <c r="I173" s="55">
        <f>F173*H173</f>
        <v>6819.6</v>
      </c>
      <c r="J173" s="13" t="s">
        <v>121</v>
      </c>
      <c r="L173" s="2"/>
    </row>
    <row r="174" spans="1:12" ht="31.5" x14ac:dyDescent="0.25">
      <c r="A174" s="9"/>
      <c r="B174" s="8"/>
      <c r="C174" s="4"/>
      <c r="D174" s="15" t="s">
        <v>175</v>
      </c>
      <c r="E174" s="41" t="s">
        <v>140</v>
      </c>
      <c r="F174" s="41" t="s">
        <v>140</v>
      </c>
      <c r="G174" s="13" t="s">
        <v>30</v>
      </c>
      <c r="H174" s="41" t="s">
        <v>140</v>
      </c>
      <c r="I174" s="41" t="s">
        <v>140</v>
      </c>
      <c r="J174" s="13"/>
      <c r="L174" s="2"/>
    </row>
    <row r="175" spans="1:12" ht="31.5" x14ac:dyDescent="0.25">
      <c r="A175" s="9"/>
      <c r="B175" s="8"/>
      <c r="C175" s="4"/>
      <c r="D175" s="15" t="s">
        <v>182</v>
      </c>
      <c r="E175" s="41" t="s">
        <v>140</v>
      </c>
      <c r="F175" s="41" t="s">
        <v>140</v>
      </c>
      <c r="G175" s="13" t="s">
        <v>156</v>
      </c>
      <c r="H175" s="41" t="s">
        <v>140</v>
      </c>
      <c r="I175" s="41" t="s">
        <v>140</v>
      </c>
      <c r="J175" s="13"/>
      <c r="L175" s="2"/>
    </row>
    <row r="176" spans="1:12" ht="18.75" x14ac:dyDescent="0.25">
      <c r="A176" s="9"/>
      <c r="B176" s="8"/>
      <c r="C176" s="4"/>
      <c r="D176" s="15" t="s">
        <v>215</v>
      </c>
      <c r="E176" s="41" t="s">
        <v>140</v>
      </c>
      <c r="F176" s="41">
        <f>1</f>
        <v>1</v>
      </c>
      <c r="G176" s="13" t="s">
        <v>154</v>
      </c>
      <c r="H176" s="41">
        <f>524.2/F176</f>
        <v>524.20000000000005</v>
      </c>
      <c r="I176" s="55">
        <f>F176*H176</f>
        <v>524.20000000000005</v>
      </c>
      <c r="J176" s="13" t="s">
        <v>121</v>
      </c>
      <c r="L176" s="2"/>
    </row>
    <row r="177" spans="1:12" ht="18.75" x14ac:dyDescent="0.25">
      <c r="A177" s="9"/>
      <c r="B177" s="8"/>
      <c r="C177" s="4"/>
      <c r="D177" s="15" t="s">
        <v>168</v>
      </c>
      <c r="E177" s="41" t="s">
        <v>140</v>
      </c>
      <c r="F177" s="41" t="s">
        <v>140</v>
      </c>
      <c r="G177" s="13" t="s">
        <v>154</v>
      </c>
      <c r="H177" s="41" t="s">
        <v>140</v>
      </c>
      <c r="I177" s="41" t="s">
        <v>140</v>
      </c>
      <c r="J177" s="13"/>
      <c r="L177" s="2"/>
    </row>
    <row r="178" spans="1:12" ht="18.75" x14ac:dyDescent="0.25">
      <c r="A178" s="9" t="s">
        <v>84</v>
      </c>
      <c r="B178" s="8"/>
      <c r="C178" s="4"/>
      <c r="D178" s="15" t="s">
        <v>70</v>
      </c>
      <c r="E178" s="41" t="s">
        <v>140</v>
      </c>
      <c r="F178" s="41" t="s">
        <v>140</v>
      </c>
      <c r="G178" s="14" t="s">
        <v>55</v>
      </c>
      <c r="H178" s="41" t="s">
        <v>140</v>
      </c>
      <c r="I178" s="41" t="s">
        <v>140</v>
      </c>
      <c r="J178" s="13"/>
      <c r="L178" s="2"/>
    </row>
    <row r="179" spans="1:12" ht="18.75" x14ac:dyDescent="0.25">
      <c r="A179" s="9"/>
      <c r="B179" s="8"/>
      <c r="C179" s="4"/>
      <c r="D179" s="15" t="s">
        <v>181</v>
      </c>
      <c r="E179" s="41" t="s">
        <v>140</v>
      </c>
      <c r="F179" s="41" t="s">
        <v>140</v>
      </c>
      <c r="G179" s="14" t="s">
        <v>31</v>
      </c>
      <c r="H179" s="41" t="s">
        <v>140</v>
      </c>
      <c r="I179" s="41" t="s">
        <v>140</v>
      </c>
      <c r="J179" s="13"/>
      <c r="L179" s="2"/>
    </row>
    <row r="180" spans="1:12" ht="18.75" x14ac:dyDescent="0.25">
      <c r="A180" s="9"/>
      <c r="B180" s="8"/>
      <c r="C180" s="4"/>
      <c r="D180" s="15" t="s">
        <v>296</v>
      </c>
      <c r="E180" s="41"/>
      <c r="F180" s="41">
        <f>1</f>
        <v>1</v>
      </c>
      <c r="G180" s="13" t="s">
        <v>31</v>
      </c>
      <c r="H180" s="41">
        <f>1115.4/F180</f>
        <v>1115.4000000000001</v>
      </c>
      <c r="I180" s="55">
        <f>F180*H180</f>
        <v>1115.4000000000001</v>
      </c>
      <c r="J180" s="13" t="s">
        <v>121</v>
      </c>
      <c r="L180" s="2"/>
    </row>
    <row r="181" spans="1:12" ht="31.5" x14ac:dyDescent="0.25">
      <c r="A181" s="9"/>
      <c r="B181" s="8"/>
      <c r="C181" s="4"/>
      <c r="D181" s="15" t="s">
        <v>240</v>
      </c>
      <c r="E181" s="41"/>
      <c r="F181" s="41"/>
      <c r="G181" s="13" t="s">
        <v>31</v>
      </c>
      <c r="H181" s="41"/>
      <c r="I181" s="41"/>
      <c r="J181" s="13"/>
      <c r="L181" s="2"/>
    </row>
    <row r="182" spans="1:12" ht="31.5" x14ac:dyDescent="0.25">
      <c r="A182" s="9" t="s">
        <v>21</v>
      </c>
      <c r="B182" s="8"/>
      <c r="C182" s="4"/>
      <c r="D182" s="15" t="s">
        <v>71</v>
      </c>
      <c r="E182" s="41" t="s">
        <v>140</v>
      </c>
      <c r="F182" s="41" t="s">
        <v>140</v>
      </c>
      <c r="G182" s="14" t="s">
        <v>55</v>
      </c>
      <c r="H182" s="41" t="s">
        <v>140</v>
      </c>
      <c r="I182" s="41" t="s">
        <v>140</v>
      </c>
      <c r="J182" s="13"/>
      <c r="L182" s="2"/>
    </row>
    <row r="183" spans="1:12" ht="18.75" x14ac:dyDescent="0.25">
      <c r="A183" s="46"/>
      <c r="B183" s="47"/>
      <c r="C183" s="22"/>
      <c r="D183" s="30"/>
      <c r="E183" s="45"/>
      <c r="F183" s="45"/>
      <c r="G183" s="12"/>
      <c r="H183" s="41"/>
      <c r="I183" s="44">
        <f>SUM(I159:I182)</f>
        <v>41259.066666666666</v>
      </c>
      <c r="J183" s="13"/>
      <c r="L183" s="2"/>
    </row>
    <row r="184" spans="1:12" ht="18.75" x14ac:dyDescent="0.3">
      <c r="A184" s="65" t="s">
        <v>74</v>
      </c>
      <c r="B184" s="66"/>
      <c r="C184" s="66"/>
      <c r="D184" s="66"/>
      <c r="E184" s="66"/>
      <c r="F184" s="66"/>
      <c r="G184" s="67"/>
      <c r="H184" s="19"/>
      <c r="I184" s="5"/>
      <c r="J184" s="13"/>
      <c r="L184" s="2"/>
    </row>
    <row r="185" spans="1:12" ht="37.5" x14ac:dyDescent="0.25">
      <c r="A185" s="9" t="s">
        <v>98</v>
      </c>
      <c r="B185" s="8"/>
      <c r="C185" s="4"/>
      <c r="D185" s="4" t="s">
        <v>130</v>
      </c>
      <c r="E185" s="31"/>
      <c r="F185" s="13">
        <f>4+4+8+4+4+4+4+4+2+24+4+2</f>
        <v>68</v>
      </c>
      <c r="G185" s="13" t="s">
        <v>115</v>
      </c>
      <c r="H185" s="33">
        <f>(2527.8+2527.8+5052.4+2584.8+2584.8+2584.8+2653.4+2653.4+1325.2+16416.2+2737+1367)/F185/3</f>
        <v>220.65980392156868</v>
      </c>
      <c r="I185" s="33">
        <f>F185*H185</f>
        <v>15004.86666666667</v>
      </c>
      <c r="J185" s="13" t="s">
        <v>116</v>
      </c>
      <c r="L185" s="2"/>
    </row>
    <row r="186" spans="1:12" ht="31.5" x14ac:dyDescent="0.25">
      <c r="A186" s="9"/>
      <c r="B186" s="8"/>
      <c r="C186" s="4"/>
      <c r="D186" s="15" t="s">
        <v>269</v>
      </c>
      <c r="E186" s="41"/>
      <c r="F186" s="41">
        <f>2</f>
        <v>2</v>
      </c>
      <c r="G186" s="13" t="s">
        <v>30</v>
      </c>
      <c r="H186" s="41">
        <f>2422.6/F186</f>
        <v>1211.3</v>
      </c>
      <c r="I186" s="55">
        <f>F186*H186</f>
        <v>2422.6</v>
      </c>
      <c r="J186" s="13" t="s">
        <v>270</v>
      </c>
      <c r="L186" s="2"/>
    </row>
    <row r="187" spans="1:12" ht="18.75" x14ac:dyDescent="0.25">
      <c r="A187" s="9"/>
      <c r="B187" s="8"/>
      <c r="C187" s="4"/>
      <c r="D187" s="4" t="s">
        <v>114</v>
      </c>
      <c r="E187" s="41"/>
      <c r="F187" s="41">
        <f>12+12+12</f>
        <v>36</v>
      </c>
      <c r="G187" s="13" t="s">
        <v>30</v>
      </c>
      <c r="H187" s="44">
        <f>(3613.2+3693+3796.8)/F187</f>
        <v>308.41666666666669</v>
      </c>
      <c r="I187" s="41">
        <f>F187*H187</f>
        <v>11103</v>
      </c>
      <c r="J187" s="13" t="s">
        <v>116</v>
      </c>
      <c r="L187" s="2"/>
    </row>
    <row r="188" spans="1:12" ht="18.75" x14ac:dyDescent="0.25">
      <c r="A188" s="9"/>
      <c r="B188" s="8"/>
      <c r="C188" s="4"/>
      <c r="D188" s="4" t="s">
        <v>158</v>
      </c>
      <c r="E188" s="41" t="s">
        <v>140</v>
      </c>
      <c r="F188" s="41" t="s">
        <v>140</v>
      </c>
      <c r="G188" s="13" t="s">
        <v>30</v>
      </c>
      <c r="H188" s="41" t="s">
        <v>140</v>
      </c>
      <c r="I188" s="41" t="s">
        <v>140</v>
      </c>
      <c r="J188" s="13"/>
      <c r="L188" s="2"/>
    </row>
    <row r="189" spans="1:12" ht="18.75" x14ac:dyDescent="0.25">
      <c r="A189" s="9"/>
      <c r="B189" s="8"/>
      <c r="C189" s="4"/>
      <c r="D189" s="4" t="s">
        <v>188</v>
      </c>
      <c r="E189" s="41" t="s">
        <v>140</v>
      </c>
      <c r="F189" s="41" t="s">
        <v>140</v>
      </c>
      <c r="G189" s="13" t="s">
        <v>137</v>
      </c>
      <c r="H189" s="41" t="s">
        <v>140</v>
      </c>
      <c r="I189" s="41" t="s">
        <v>140</v>
      </c>
      <c r="J189" s="13"/>
      <c r="L189" s="2"/>
    </row>
    <row r="190" spans="1:12" ht="18.75" x14ac:dyDescent="0.25">
      <c r="A190" s="9"/>
      <c r="B190" s="8"/>
      <c r="C190" s="4"/>
      <c r="D190" s="4" t="s">
        <v>187</v>
      </c>
      <c r="E190" s="41" t="s">
        <v>140</v>
      </c>
      <c r="F190" s="41" t="s">
        <v>140</v>
      </c>
      <c r="G190" s="13" t="s">
        <v>137</v>
      </c>
      <c r="H190" s="41" t="s">
        <v>140</v>
      </c>
      <c r="I190" s="41" t="s">
        <v>140</v>
      </c>
      <c r="J190" s="13"/>
      <c r="L190" s="2"/>
    </row>
    <row r="191" spans="1:12" ht="18.75" x14ac:dyDescent="0.25">
      <c r="A191" s="9" t="s">
        <v>22</v>
      </c>
      <c r="B191" s="8"/>
      <c r="C191" s="4"/>
      <c r="D191" s="4" t="s">
        <v>77</v>
      </c>
      <c r="E191" s="41" t="s">
        <v>140</v>
      </c>
      <c r="F191" s="41" t="s">
        <v>140</v>
      </c>
      <c r="G191" s="13" t="s">
        <v>30</v>
      </c>
      <c r="H191" s="41" t="s">
        <v>140</v>
      </c>
      <c r="I191" s="41" t="s">
        <v>140</v>
      </c>
      <c r="J191" s="13"/>
      <c r="L191" s="2"/>
    </row>
    <row r="192" spans="1:12" ht="18.75" x14ac:dyDescent="0.25">
      <c r="A192" s="46"/>
      <c r="B192" s="47"/>
      <c r="C192" s="22"/>
      <c r="D192" s="22"/>
      <c r="E192" s="45"/>
      <c r="F192" s="45"/>
      <c r="G192" s="31"/>
      <c r="H192" s="41"/>
      <c r="I192" s="44">
        <f>SUM(I185:I191)</f>
        <v>28530.466666666671</v>
      </c>
      <c r="J192" s="13"/>
      <c r="L192" s="2"/>
    </row>
    <row r="193" spans="1:12" ht="18.75" x14ac:dyDescent="0.3">
      <c r="A193" s="65" t="s">
        <v>79</v>
      </c>
      <c r="B193" s="66"/>
      <c r="C193" s="66"/>
      <c r="D193" s="66"/>
      <c r="E193" s="66"/>
      <c r="F193" s="66"/>
      <c r="G193" s="67"/>
      <c r="H193" s="5"/>
      <c r="I193" s="5"/>
      <c r="J193" s="13"/>
      <c r="L193" s="2"/>
    </row>
    <row r="194" spans="1:12" ht="38.25" customHeight="1" x14ac:dyDescent="0.25">
      <c r="A194" s="9" t="s">
        <v>23</v>
      </c>
      <c r="B194" s="5"/>
      <c r="C194" s="4"/>
      <c r="D194" s="15" t="s">
        <v>142</v>
      </c>
      <c r="E194" s="41"/>
      <c r="F194" s="41"/>
      <c r="G194" s="13" t="s">
        <v>55</v>
      </c>
      <c r="H194" s="41"/>
      <c r="I194" s="41"/>
      <c r="J194" s="13"/>
      <c r="L194" s="2"/>
    </row>
    <row r="195" spans="1:12" ht="38.25" customHeight="1" x14ac:dyDescent="0.25">
      <c r="A195" s="9"/>
      <c r="B195" s="5"/>
      <c r="C195" s="4"/>
      <c r="D195" s="15" t="s">
        <v>165</v>
      </c>
      <c r="E195" s="41"/>
      <c r="F195" s="41"/>
      <c r="G195" s="13" t="s">
        <v>31</v>
      </c>
      <c r="H195" s="41"/>
      <c r="I195" s="41"/>
      <c r="J195" s="13"/>
      <c r="L195" s="2"/>
    </row>
    <row r="196" spans="1:12" ht="18.75" x14ac:dyDescent="0.25">
      <c r="A196" s="9" t="s">
        <v>24</v>
      </c>
      <c r="B196" s="5"/>
      <c r="C196" s="4"/>
      <c r="D196" s="4" t="s">
        <v>78</v>
      </c>
      <c r="E196" s="41"/>
      <c r="F196" s="41"/>
      <c r="G196" s="13" t="s">
        <v>55</v>
      </c>
      <c r="H196" s="41"/>
      <c r="I196" s="41"/>
      <c r="J196" s="13"/>
      <c r="L196" s="2"/>
    </row>
    <row r="197" spans="1:12" ht="31.5" x14ac:dyDescent="0.25">
      <c r="A197" s="9" t="s">
        <v>127</v>
      </c>
      <c r="B197" s="5"/>
      <c r="C197" s="4"/>
      <c r="D197" s="15" t="s">
        <v>151</v>
      </c>
      <c r="E197" s="41"/>
      <c r="F197" s="41"/>
      <c r="G197" s="13" t="s">
        <v>55</v>
      </c>
      <c r="H197" s="44"/>
      <c r="I197" s="41"/>
      <c r="J197" s="13"/>
      <c r="L197" s="2"/>
    </row>
    <row r="198" spans="1:12" ht="18.75" x14ac:dyDescent="0.25">
      <c r="A198" s="9"/>
      <c r="B198" s="5"/>
      <c r="C198" s="4"/>
      <c r="D198" s="15" t="s">
        <v>238</v>
      </c>
      <c r="E198" s="41"/>
      <c r="F198" s="41"/>
      <c r="G198" s="13" t="s">
        <v>31</v>
      </c>
      <c r="H198" s="41"/>
      <c r="I198" s="41"/>
      <c r="J198" s="13"/>
      <c r="L198" s="2"/>
    </row>
    <row r="199" spans="1:12" ht="18.75" x14ac:dyDescent="0.25">
      <c r="A199" s="9"/>
      <c r="B199" s="5"/>
      <c r="C199" s="4"/>
      <c r="D199" s="15" t="s">
        <v>236</v>
      </c>
      <c r="E199" s="41"/>
      <c r="F199" s="41">
        <f>88</f>
        <v>88</v>
      </c>
      <c r="G199" s="13" t="s">
        <v>149</v>
      </c>
      <c r="H199" s="44">
        <f>20664.8/F199</f>
        <v>234.82727272727271</v>
      </c>
      <c r="I199" s="55">
        <f>F199*H199</f>
        <v>20664.8</v>
      </c>
      <c r="J199" s="13" t="s">
        <v>121</v>
      </c>
      <c r="L199" s="2"/>
    </row>
    <row r="200" spans="1:12" ht="18.75" x14ac:dyDescent="0.25">
      <c r="A200" s="9"/>
      <c r="B200" s="5"/>
      <c r="C200" s="4"/>
      <c r="D200" s="15" t="s">
        <v>255</v>
      </c>
      <c r="E200" s="41"/>
      <c r="F200" s="41"/>
      <c r="G200" s="13" t="s">
        <v>149</v>
      </c>
      <c r="H200" s="41"/>
      <c r="I200" s="41"/>
      <c r="J200" s="13"/>
      <c r="L200" s="2"/>
    </row>
    <row r="201" spans="1:12" ht="18.75" x14ac:dyDescent="0.25">
      <c r="A201" s="9"/>
      <c r="B201" s="5"/>
      <c r="C201" s="4"/>
      <c r="D201" s="15" t="s">
        <v>256</v>
      </c>
      <c r="E201" s="41"/>
      <c r="F201" s="41"/>
      <c r="G201" s="13" t="s">
        <v>149</v>
      </c>
      <c r="H201" s="41"/>
      <c r="I201" s="41"/>
      <c r="J201" s="13"/>
      <c r="L201" s="2"/>
    </row>
    <row r="202" spans="1:12" ht="18.75" x14ac:dyDescent="0.25">
      <c r="A202" s="9"/>
      <c r="B202" s="5"/>
      <c r="C202" s="4"/>
      <c r="D202" s="15" t="s">
        <v>166</v>
      </c>
      <c r="E202" s="41"/>
      <c r="F202" s="41"/>
      <c r="G202" s="13" t="s">
        <v>149</v>
      </c>
      <c r="H202" s="41"/>
      <c r="I202" s="41"/>
      <c r="J202" s="13"/>
      <c r="L202" s="2"/>
    </row>
    <row r="203" spans="1:12" ht="18.75" x14ac:dyDescent="0.25">
      <c r="A203" s="9"/>
      <c r="B203" s="5"/>
      <c r="C203" s="4"/>
      <c r="D203" s="15" t="s">
        <v>199</v>
      </c>
      <c r="E203" s="41"/>
      <c r="F203" s="41"/>
      <c r="G203" s="13" t="s">
        <v>31</v>
      </c>
      <c r="H203" s="41"/>
      <c r="I203" s="41"/>
      <c r="J203" s="13"/>
      <c r="L203" s="2"/>
    </row>
    <row r="204" spans="1:12" ht="31.5" x14ac:dyDescent="0.25">
      <c r="A204" s="9"/>
      <c r="B204" s="5"/>
      <c r="C204" s="4"/>
      <c r="D204" s="15" t="s">
        <v>257</v>
      </c>
      <c r="E204" s="41"/>
      <c r="F204" s="41">
        <f>31</f>
        <v>31</v>
      </c>
      <c r="G204" s="13" t="s">
        <v>31</v>
      </c>
      <c r="H204" s="44">
        <f>63224.2/F204</f>
        <v>2039.4903225806452</v>
      </c>
      <c r="I204" s="55">
        <f>F204*H204</f>
        <v>63224.2</v>
      </c>
      <c r="J204" s="13" t="s">
        <v>121</v>
      </c>
      <c r="L204" s="2"/>
    </row>
    <row r="205" spans="1:12" ht="18.75" x14ac:dyDescent="0.25">
      <c r="A205" s="9"/>
      <c r="B205" s="5"/>
      <c r="C205" s="4"/>
      <c r="D205" s="15" t="s">
        <v>200</v>
      </c>
      <c r="E205" s="41"/>
      <c r="F205" s="41"/>
      <c r="G205" s="13" t="s">
        <v>55</v>
      </c>
      <c r="H205" s="41"/>
      <c r="I205" s="41"/>
      <c r="J205" s="13"/>
      <c r="L205" s="2"/>
    </row>
    <row r="206" spans="1:12" ht="18.75" x14ac:dyDescent="0.25">
      <c r="A206" s="9"/>
      <c r="B206" s="5"/>
      <c r="C206" s="4"/>
      <c r="D206" s="15" t="s">
        <v>106</v>
      </c>
      <c r="E206" s="32"/>
      <c r="F206" s="13">
        <f>4+2+5+2+7+5+3</f>
        <v>28</v>
      </c>
      <c r="G206" s="13" t="s">
        <v>55</v>
      </c>
      <c r="H206" s="33">
        <f>(758.8+281.8+1166.6+285+1011.6+723.6+521)/F206</f>
        <v>169.58571428571426</v>
      </c>
      <c r="I206" s="13">
        <f t="shared" ref="I206" si="10">F206*H206</f>
        <v>4748.3999999999996</v>
      </c>
      <c r="J206" s="13" t="s">
        <v>116</v>
      </c>
      <c r="L206" s="2"/>
    </row>
    <row r="207" spans="1:12" ht="18.75" x14ac:dyDescent="0.25">
      <c r="A207" s="9"/>
      <c r="B207" s="5"/>
      <c r="C207" s="4"/>
      <c r="D207" s="15" t="s">
        <v>239</v>
      </c>
      <c r="E207" s="41"/>
      <c r="F207" s="41"/>
      <c r="G207" s="13" t="s">
        <v>31</v>
      </c>
      <c r="H207" s="41" t="s">
        <v>140</v>
      </c>
      <c r="I207" s="41" t="s">
        <v>140</v>
      </c>
      <c r="J207" s="13"/>
      <c r="L207" s="2"/>
    </row>
    <row r="208" spans="1:12" ht="56.25" x14ac:dyDescent="0.25">
      <c r="A208" s="9" t="s">
        <v>107</v>
      </c>
      <c r="B208" s="5"/>
      <c r="C208" s="4"/>
      <c r="D208" s="15" t="s">
        <v>125</v>
      </c>
      <c r="E208" s="32"/>
      <c r="F208" s="13">
        <f>45+45+45+45+45+45+45+45+45+45+45+45</f>
        <v>540</v>
      </c>
      <c r="G208" s="13" t="s">
        <v>108</v>
      </c>
      <c r="H208" s="33">
        <f>(3993.2+3993.2+3993.2+4083+4083+4083+4190+4190+4190+4321.6+4321.6+4321.6)/F208</f>
        <v>92.154444444444437</v>
      </c>
      <c r="I208" s="13">
        <f>F208*H208</f>
        <v>49763.399999999994</v>
      </c>
      <c r="J208" s="13" t="s">
        <v>116</v>
      </c>
      <c r="L208" s="2"/>
    </row>
    <row r="209" spans="1:12" ht="18.75" x14ac:dyDescent="0.25">
      <c r="A209" s="46"/>
      <c r="B209" s="22"/>
      <c r="C209" s="22"/>
      <c r="D209" s="30"/>
      <c r="E209" s="48"/>
      <c r="F209" s="49"/>
      <c r="G209" s="31"/>
      <c r="H209" s="31"/>
      <c r="I209" s="13">
        <f>SUM(I194:I208)</f>
        <v>138400.79999999999</v>
      </c>
      <c r="J209" s="13"/>
      <c r="L209" s="2"/>
    </row>
    <row r="210" spans="1:12" ht="18.75" x14ac:dyDescent="0.25">
      <c r="A210" s="72" t="s">
        <v>92</v>
      </c>
      <c r="B210" s="73"/>
      <c r="C210" s="73"/>
      <c r="D210" s="73"/>
      <c r="E210" s="73"/>
      <c r="F210" s="73"/>
      <c r="G210" s="74"/>
      <c r="H210" s="12"/>
      <c r="I210" s="5"/>
      <c r="J210" s="13"/>
      <c r="L210" s="2"/>
    </row>
    <row r="211" spans="1:12" ht="18.75" x14ac:dyDescent="0.25">
      <c r="A211" s="26"/>
      <c r="B211" s="27"/>
      <c r="C211" s="27"/>
      <c r="D211" s="36" t="s">
        <v>117</v>
      </c>
      <c r="E211" s="41"/>
      <c r="F211" s="41">
        <f>1+1</f>
        <v>2</v>
      </c>
      <c r="G211" s="38" t="s">
        <v>31</v>
      </c>
      <c r="H211" s="41">
        <f>(1211.6+2519.8)/F211</f>
        <v>1865.7</v>
      </c>
      <c r="I211" s="41">
        <f>F211*H211</f>
        <v>3731.4</v>
      </c>
      <c r="J211" s="13" t="s">
        <v>116</v>
      </c>
      <c r="L211" s="2"/>
    </row>
    <row r="212" spans="1:12" ht="63" x14ac:dyDescent="0.25">
      <c r="A212" s="9" t="s">
        <v>90</v>
      </c>
      <c r="B212" s="22"/>
      <c r="C212" s="22"/>
      <c r="D212" s="23" t="s">
        <v>119</v>
      </c>
      <c r="E212" s="37">
        <v>2102</v>
      </c>
      <c r="F212" s="13">
        <v>2102</v>
      </c>
      <c r="G212" s="31" t="s">
        <v>91</v>
      </c>
      <c r="H212" s="31">
        <v>4.8</v>
      </c>
      <c r="I212" s="13">
        <f>F212*H212*12</f>
        <v>121075.20000000001</v>
      </c>
      <c r="J212" s="13" t="s">
        <v>116</v>
      </c>
      <c r="L212" s="2"/>
    </row>
    <row r="213" spans="1:12" ht="18.75" x14ac:dyDescent="0.25">
      <c r="A213" s="46"/>
      <c r="B213" s="22"/>
      <c r="C213" s="22"/>
      <c r="D213" s="30"/>
      <c r="E213" s="48"/>
      <c r="F213" s="49"/>
      <c r="G213" s="31"/>
      <c r="H213" s="31"/>
      <c r="I213" s="13">
        <f>SUM(I211:I212)</f>
        <v>124806.6</v>
      </c>
      <c r="J213" s="13"/>
      <c r="L213" s="2"/>
    </row>
    <row r="214" spans="1:12" ht="18.75" x14ac:dyDescent="0.3">
      <c r="A214" s="65" t="s">
        <v>80</v>
      </c>
      <c r="B214" s="66"/>
      <c r="C214" s="66"/>
      <c r="D214" s="66"/>
      <c r="E214" s="66"/>
      <c r="F214" s="66"/>
      <c r="G214" s="67"/>
      <c r="H214" s="19"/>
      <c r="I214" s="5"/>
      <c r="J214" s="13"/>
      <c r="L214" s="2"/>
    </row>
    <row r="215" spans="1:12" ht="46.5" customHeight="1" x14ac:dyDescent="0.3">
      <c r="A215" s="34" t="s">
        <v>132</v>
      </c>
      <c r="B215" s="24"/>
      <c r="C215" s="24"/>
      <c r="D215" s="35" t="s">
        <v>131</v>
      </c>
      <c r="E215" s="13">
        <v>378</v>
      </c>
      <c r="F215" s="13">
        <v>378</v>
      </c>
      <c r="G215" s="13" t="s">
        <v>139</v>
      </c>
      <c r="H215" s="13">
        <v>13</v>
      </c>
      <c r="I215" s="13">
        <f>F215*H215*3</f>
        <v>14742</v>
      </c>
      <c r="J215" s="13" t="s">
        <v>186</v>
      </c>
      <c r="L215" s="2"/>
    </row>
    <row r="216" spans="1:12" ht="18.75" x14ac:dyDescent="0.25">
      <c r="A216" s="9" t="s">
        <v>25</v>
      </c>
      <c r="B216" s="5"/>
      <c r="C216" s="4"/>
      <c r="D216" s="4" t="s">
        <v>76</v>
      </c>
      <c r="E216" s="41" t="s">
        <v>140</v>
      </c>
      <c r="F216" s="41" t="s">
        <v>140</v>
      </c>
      <c r="G216" s="14" t="s">
        <v>55</v>
      </c>
      <c r="H216" s="41" t="s">
        <v>140</v>
      </c>
      <c r="I216" s="41" t="s">
        <v>140</v>
      </c>
      <c r="J216" s="13"/>
      <c r="L216" s="2"/>
    </row>
    <row r="217" spans="1:12" ht="47.25" x14ac:dyDescent="0.25">
      <c r="A217" s="9" t="s">
        <v>26</v>
      </c>
      <c r="B217" s="5"/>
      <c r="C217" s="4"/>
      <c r="D217" s="15" t="s">
        <v>28</v>
      </c>
      <c r="E217" s="41" t="s">
        <v>140</v>
      </c>
      <c r="F217" s="41" t="s">
        <v>140</v>
      </c>
      <c r="G217" s="14" t="s">
        <v>55</v>
      </c>
      <c r="H217" s="41" t="s">
        <v>140</v>
      </c>
      <c r="I217" s="41" t="s">
        <v>140</v>
      </c>
      <c r="J217" s="13"/>
      <c r="L217" s="2"/>
    </row>
    <row r="218" spans="1:12" ht="31.5" x14ac:dyDescent="0.25">
      <c r="A218" s="9" t="s">
        <v>27</v>
      </c>
      <c r="B218" s="5"/>
      <c r="C218" s="4"/>
      <c r="D218" s="15" t="s">
        <v>75</v>
      </c>
      <c r="E218" s="41" t="s">
        <v>140</v>
      </c>
      <c r="F218" s="41" t="s">
        <v>140</v>
      </c>
      <c r="G218" s="14" t="s">
        <v>55</v>
      </c>
      <c r="H218" s="41" t="s">
        <v>140</v>
      </c>
      <c r="I218" s="41" t="s">
        <v>140</v>
      </c>
      <c r="J218" s="13"/>
      <c r="L218" s="2"/>
    </row>
    <row r="219" spans="1:12" ht="18.75" x14ac:dyDescent="0.25">
      <c r="A219" s="46"/>
      <c r="B219" s="22"/>
      <c r="C219" s="22"/>
      <c r="D219" s="30"/>
      <c r="E219" s="45"/>
      <c r="F219" s="45"/>
      <c r="G219" s="12"/>
      <c r="H219" s="50"/>
      <c r="I219" s="50">
        <f>SUM(I215:I218)</f>
        <v>14742</v>
      </c>
      <c r="J219" s="51"/>
      <c r="L219" s="2"/>
    </row>
    <row r="220" spans="1:12" ht="18.75" x14ac:dyDescent="0.3">
      <c r="A220" s="65" t="s">
        <v>85</v>
      </c>
      <c r="B220" s="66"/>
      <c r="C220" s="66"/>
      <c r="D220" s="66"/>
      <c r="E220" s="66"/>
      <c r="F220" s="66"/>
      <c r="G220" s="67"/>
      <c r="H220" s="2"/>
      <c r="I220" s="2"/>
      <c r="J220" s="2"/>
      <c r="K220" s="2"/>
      <c r="L220" s="2"/>
    </row>
    <row r="221" spans="1:12" ht="48" x14ac:dyDescent="0.3">
      <c r="A221" s="6" t="s">
        <v>67</v>
      </c>
      <c r="B221" s="6"/>
      <c r="C221" s="4"/>
      <c r="D221" s="15" t="s">
        <v>86</v>
      </c>
      <c r="E221" s="41" t="s">
        <v>140</v>
      </c>
      <c r="F221" s="41">
        <f>58</f>
        <v>58</v>
      </c>
      <c r="G221" s="13" t="s">
        <v>113</v>
      </c>
      <c r="H221" s="44">
        <f>32276.6/F221</f>
        <v>556.49310344827586</v>
      </c>
      <c r="I221" s="55">
        <f>F221*H221</f>
        <v>32276.6</v>
      </c>
      <c r="J221" s="13" t="s">
        <v>118</v>
      </c>
      <c r="L221" s="2"/>
    </row>
    <row r="222" spans="1:12" ht="18.75" x14ac:dyDescent="0.3">
      <c r="A222" s="28"/>
      <c r="B222" s="29"/>
      <c r="C222" s="22"/>
      <c r="D222" s="40" t="s">
        <v>303</v>
      </c>
      <c r="E222" s="41"/>
      <c r="F222" s="41">
        <f>11+1</f>
        <v>12</v>
      </c>
      <c r="G222" s="13" t="s">
        <v>31</v>
      </c>
      <c r="H222" s="44">
        <f>(1550+1900+1550)/F222</f>
        <v>416.66666666666669</v>
      </c>
      <c r="I222" s="55">
        <f>F222*H222</f>
        <v>5000</v>
      </c>
      <c r="J222" s="13" t="s">
        <v>118</v>
      </c>
      <c r="L222" s="2"/>
    </row>
    <row r="223" spans="1:12" ht="18.75" x14ac:dyDescent="0.3">
      <c r="A223" s="28"/>
      <c r="B223" s="29"/>
      <c r="C223" s="22"/>
      <c r="D223" s="40" t="s">
        <v>304</v>
      </c>
      <c r="E223" s="41"/>
      <c r="F223" s="41">
        <f>1</f>
        <v>1</v>
      </c>
      <c r="G223" s="13" t="s">
        <v>31</v>
      </c>
      <c r="H223" s="44">
        <f>1585/F223</f>
        <v>1585</v>
      </c>
      <c r="I223" s="55">
        <f>F223*H223</f>
        <v>1585</v>
      </c>
      <c r="J223" s="13" t="s">
        <v>121</v>
      </c>
      <c r="L223" s="2"/>
    </row>
    <row r="224" spans="1:12" ht="32.25" x14ac:dyDescent="0.3">
      <c r="A224" s="28"/>
      <c r="B224" s="29"/>
      <c r="C224" s="22"/>
      <c r="D224" s="40" t="s">
        <v>109</v>
      </c>
      <c r="E224" s="41">
        <v>1</v>
      </c>
      <c r="F224" s="41">
        <v>1</v>
      </c>
      <c r="G224" s="13" t="s">
        <v>110</v>
      </c>
      <c r="H224" s="41">
        <v>29636</v>
      </c>
      <c r="I224" s="41">
        <f>F224*H224</f>
        <v>29636</v>
      </c>
      <c r="J224" s="39" t="s">
        <v>118</v>
      </c>
      <c r="L224" s="2"/>
    </row>
    <row r="225" spans="1:12" ht="18.75" x14ac:dyDescent="0.3">
      <c r="A225" s="28"/>
      <c r="B225" s="29"/>
      <c r="C225" s="22"/>
      <c r="D225" s="30"/>
      <c r="E225" s="45"/>
      <c r="F225" s="45"/>
      <c r="G225" s="31"/>
      <c r="H225" s="45"/>
      <c r="I225" s="45">
        <f>SUM(I221:I224)</f>
        <v>68497.600000000006</v>
      </c>
      <c r="J225" s="52"/>
      <c r="L225" s="2"/>
    </row>
    <row r="226" spans="1:12" ht="18.75" x14ac:dyDescent="0.3">
      <c r="A226" s="65" t="s">
        <v>99</v>
      </c>
      <c r="B226" s="66"/>
      <c r="C226" s="66"/>
      <c r="D226" s="66"/>
      <c r="E226" s="66"/>
      <c r="F226" s="66"/>
      <c r="G226" s="67"/>
      <c r="H226" s="65"/>
      <c r="I226" s="66"/>
      <c r="J226" s="66"/>
      <c r="L226" s="2"/>
    </row>
    <row r="227" spans="1:12" ht="32.25" x14ac:dyDescent="0.3">
      <c r="A227" s="34" t="s">
        <v>150</v>
      </c>
      <c r="B227" s="24"/>
      <c r="C227" s="24"/>
      <c r="D227" s="40" t="s">
        <v>134</v>
      </c>
      <c r="E227" s="13"/>
      <c r="F227" s="13">
        <f>1+1</f>
        <v>2</v>
      </c>
      <c r="G227" s="13" t="s">
        <v>135</v>
      </c>
      <c r="H227" s="13">
        <v>800</v>
      </c>
      <c r="I227" s="58">
        <f t="shared" ref="I227:I230" si="11">F227*H227</f>
        <v>1600</v>
      </c>
      <c r="J227" s="13" t="s">
        <v>124</v>
      </c>
      <c r="L227" s="2"/>
    </row>
    <row r="228" spans="1:12" ht="48" x14ac:dyDescent="0.3">
      <c r="A228" s="24"/>
      <c r="B228" s="24"/>
      <c r="C228" s="24"/>
      <c r="D228" s="40" t="s">
        <v>136</v>
      </c>
      <c r="E228" s="41"/>
      <c r="F228" s="41">
        <f>210+20</f>
        <v>230</v>
      </c>
      <c r="G228" s="13" t="s">
        <v>137</v>
      </c>
      <c r="H228" s="44">
        <f>(210*650+20*700)/F228</f>
        <v>654.3478260869565</v>
      </c>
      <c r="I228" s="57">
        <f>F228*H228</f>
        <v>150500</v>
      </c>
      <c r="J228" s="13" t="s">
        <v>124</v>
      </c>
      <c r="L228" s="2"/>
    </row>
    <row r="229" spans="1:12" ht="32.25" x14ac:dyDescent="0.3">
      <c r="A229" s="24"/>
      <c r="B229" s="24"/>
      <c r="C229" s="24"/>
      <c r="D229" s="40" t="s">
        <v>267</v>
      </c>
      <c r="E229" s="13"/>
      <c r="F229" s="13">
        <f>1110+150</f>
        <v>1260</v>
      </c>
      <c r="G229" s="13" t="s">
        <v>138</v>
      </c>
      <c r="H229" s="33">
        <f>(55500+150*45.83)/F229</f>
        <v>49.503571428571426</v>
      </c>
      <c r="I229" s="58">
        <f t="shared" si="11"/>
        <v>62374.5</v>
      </c>
      <c r="J229" s="13" t="s">
        <v>124</v>
      </c>
      <c r="L229" s="2"/>
    </row>
    <row r="230" spans="1:12" ht="32.25" x14ac:dyDescent="0.3">
      <c r="A230" s="24"/>
      <c r="B230" s="24"/>
      <c r="C230" s="24"/>
      <c r="D230" s="40" t="s">
        <v>268</v>
      </c>
      <c r="E230" s="13"/>
      <c r="F230" s="13">
        <f>630+240+450</f>
        <v>1320</v>
      </c>
      <c r="G230" s="13" t="s">
        <v>138</v>
      </c>
      <c r="H230" s="33">
        <f>(41.67*630+33.33*240+450*45.83)/F230</f>
        <v>41.571818181818188</v>
      </c>
      <c r="I230" s="58">
        <f t="shared" si="11"/>
        <v>54874.80000000001</v>
      </c>
      <c r="J230" s="13" t="s">
        <v>124</v>
      </c>
      <c r="L230" s="2"/>
    </row>
    <row r="231" spans="1:12" ht="18.75" x14ac:dyDescent="0.3">
      <c r="A231" s="24"/>
      <c r="B231" s="24"/>
      <c r="C231" s="24"/>
      <c r="D231" s="15" t="s">
        <v>276</v>
      </c>
      <c r="E231" s="41"/>
      <c r="F231" s="41">
        <f>2.6</f>
        <v>2.6</v>
      </c>
      <c r="G231" s="13" t="s">
        <v>149</v>
      </c>
      <c r="H231" s="44">
        <f>1787.4/F231</f>
        <v>687.46153846153845</v>
      </c>
      <c r="I231" s="57">
        <f>F231*H231</f>
        <v>1787.4</v>
      </c>
      <c r="J231" s="13" t="s">
        <v>118</v>
      </c>
      <c r="L231" s="2"/>
    </row>
    <row r="232" spans="1:12" ht="18.75" x14ac:dyDescent="0.3">
      <c r="A232" s="24"/>
      <c r="B232" s="24"/>
      <c r="C232" s="24"/>
      <c r="D232" s="15" t="s">
        <v>277</v>
      </c>
      <c r="E232" s="41"/>
      <c r="F232" s="41">
        <v>12</v>
      </c>
      <c r="G232" s="13" t="s">
        <v>113</v>
      </c>
      <c r="H232" s="44">
        <f>22998.8/F232</f>
        <v>1916.5666666666666</v>
      </c>
      <c r="I232" s="55">
        <f>F232*H232</f>
        <v>22998.799999999999</v>
      </c>
      <c r="J232" s="13" t="s">
        <v>118</v>
      </c>
      <c r="L232" s="2"/>
    </row>
    <row r="233" spans="1:12" ht="18.75" x14ac:dyDescent="0.3">
      <c r="A233" s="24"/>
      <c r="B233" s="24"/>
      <c r="C233" s="24"/>
      <c r="D233" s="15" t="s">
        <v>249</v>
      </c>
      <c r="E233" s="41"/>
      <c r="F233" s="41">
        <f>8.5</f>
        <v>8.5</v>
      </c>
      <c r="G233" s="13" t="s">
        <v>113</v>
      </c>
      <c r="H233" s="44">
        <f>3928.6/F233</f>
        <v>462.18823529411765</v>
      </c>
      <c r="I233" s="55">
        <f>F233*H233</f>
        <v>3928.6</v>
      </c>
      <c r="J233" s="13" t="s">
        <v>118</v>
      </c>
      <c r="L233" s="2"/>
    </row>
    <row r="234" spans="1:12" ht="18.75" x14ac:dyDescent="0.3">
      <c r="A234" s="24"/>
      <c r="B234" s="24"/>
      <c r="C234" s="24"/>
      <c r="D234" s="15" t="s">
        <v>281</v>
      </c>
      <c r="E234" s="41"/>
      <c r="F234" s="41">
        <v>4</v>
      </c>
      <c r="G234" s="13" t="s">
        <v>148</v>
      </c>
      <c r="H234" s="44">
        <f>622.2/F234</f>
        <v>155.55000000000001</v>
      </c>
      <c r="I234" s="55">
        <f>F234*H234</f>
        <v>622.20000000000005</v>
      </c>
      <c r="J234" s="13" t="s">
        <v>122</v>
      </c>
      <c r="L234" s="2"/>
    </row>
    <row r="235" spans="1:12" ht="18.75" x14ac:dyDescent="0.3">
      <c r="A235" s="24"/>
      <c r="B235" s="24"/>
      <c r="C235" s="24"/>
      <c r="D235" s="40" t="s">
        <v>152</v>
      </c>
      <c r="E235" s="41"/>
      <c r="F235" s="41"/>
      <c r="G235" s="13"/>
      <c r="H235" s="41"/>
      <c r="I235" s="41"/>
      <c r="J235" s="13"/>
      <c r="L235" s="2"/>
    </row>
    <row r="236" spans="1:12" ht="32.25" x14ac:dyDescent="0.3">
      <c r="A236" s="24"/>
      <c r="B236" s="24"/>
      <c r="C236" s="24"/>
      <c r="D236" s="40" t="s">
        <v>283</v>
      </c>
      <c r="E236" s="41"/>
      <c r="F236" s="41">
        <f>7.5</f>
        <v>7.5</v>
      </c>
      <c r="G236" s="13" t="s">
        <v>149</v>
      </c>
      <c r="H236" s="44">
        <f>(16463.6)/F236</f>
        <v>2195.1466666666665</v>
      </c>
      <c r="I236" s="55">
        <f>F236*H236+0.7</f>
        <v>16464.3</v>
      </c>
      <c r="J236" s="13" t="s">
        <v>118</v>
      </c>
      <c r="L236" s="2"/>
    </row>
    <row r="237" spans="1:12" ht="48" x14ac:dyDescent="0.3">
      <c r="A237" s="24"/>
      <c r="B237" s="24"/>
      <c r="C237" s="24"/>
      <c r="D237" s="40" t="s">
        <v>284</v>
      </c>
      <c r="E237" s="41"/>
      <c r="F237" s="41">
        <f>3.02+3</f>
        <v>6.02</v>
      </c>
      <c r="G237" s="13" t="s">
        <v>113</v>
      </c>
      <c r="H237" s="44">
        <f>(1681.4+1670.2)/F237</f>
        <v>556.74418604651169</v>
      </c>
      <c r="I237" s="55">
        <f>F237*H237</f>
        <v>3351.6</v>
      </c>
      <c r="J237" s="13" t="s">
        <v>118</v>
      </c>
      <c r="L237" s="2"/>
    </row>
    <row r="238" spans="1:12" ht="18.75" x14ac:dyDescent="0.3">
      <c r="A238" s="24"/>
      <c r="B238" s="24"/>
      <c r="C238" s="24"/>
      <c r="D238" s="40" t="s">
        <v>282</v>
      </c>
      <c r="E238" s="41"/>
      <c r="F238" s="41">
        <v>1</v>
      </c>
      <c r="G238" s="13" t="s">
        <v>31</v>
      </c>
      <c r="H238" s="41">
        <f>6200</f>
        <v>6200</v>
      </c>
      <c r="I238" s="55">
        <f>F238*H238</f>
        <v>6200</v>
      </c>
      <c r="J238" s="13" t="s">
        <v>118</v>
      </c>
      <c r="L238" s="2"/>
    </row>
    <row r="239" spans="1:12" ht="18.75" x14ac:dyDescent="0.3">
      <c r="A239" s="24"/>
      <c r="B239" s="24"/>
      <c r="C239" s="24"/>
      <c r="D239" s="40" t="s">
        <v>286</v>
      </c>
      <c r="E239" s="41"/>
      <c r="F239" s="41">
        <f>7.5</f>
        <v>7.5</v>
      </c>
      <c r="G239" s="13" t="s">
        <v>149</v>
      </c>
      <c r="H239" s="44">
        <f>26006.4/F239</f>
        <v>3467.52</v>
      </c>
      <c r="I239" s="55">
        <f>F239*H239</f>
        <v>26006.400000000001</v>
      </c>
      <c r="J239" s="13" t="s">
        <v>118</v>
      </c>
      <c r="L239" s="2"/>
    </row>
    <row r="240" spans="1:12" ht="18.75" x14ac:dyDescent="0.3">
      <c r="A240" s="24"/>
      <c r="B240" s="24"/>
      <c r="C240" s="24"/>
      <c r="D240" s="40"/>
      <c r="E240" s="41"/>
      <c r="F240" s="41"/>
      <c r="G240" s="13"/>
      <c r="H240" s="44"/>
      <c r="I240" s="57">
        <f>SUM(I227:I239)</f>
        <v>350708.6</v>
      </c>
      <c r="J240" s="13"/>
      <c r="L240" s="2"/>
    </row>
    <row r="241" spans="1:12" ht="18.75" x14ac:dyDescent="0.3">
      <c r="A241" s="60" t="s">
        <v>306</v>
      </c>
      <c r="B241" s="14"/>
      <c r="C241" s="14"/>
      <c r="D241" s="43"/>
      <c r="E241" s="14"/>
      <c r="F241" s="14"/>
      <c r="G241" s="38"/>
      <c r="H241" s="14"/>
      <c r="I241" s="61">
        <f>I7+I8+I9+I10+I34+I46+I47+I48+I52+I54+I55+I58+I64+I65+I85+I86+I87+I88+I89+I90+I91+I92+I93+I107+I114+I116+I126+I134+I139+I140+I141+I142+I143+I147+I148+I149+I154+I155+I162+I167+I168+I172+I173+I176+I180+I186+I199+I204+I221+I222+I223+I227+I228+I229+I230+I231+I232+I233+I234+I236+I237+I238+I239</f>
        <v>981841.2</v>
      </c>
      <c r="J241" s="14"/>
      <c r="L241" s="2"/>
    </row>
    <row r="242" spans="1:12" ht="15.75" x14ac:dyDescent="0.25">
      <c r="A242" s="53" t="s">
        <v>265</v>
      </c>
      <c r="B242" s="25"/>
      <c r="C242" s="25"/>
      <c r="D242" s="43"/>
      <c r="E242" s="13"/>
      <c r="F242" s="13"/>
      <c r="G242" s="38"/>
      <c r="H242" s="13"/>
      <c r="I242" s="75">
        <f>I19+I41+I99+I135+I157+I183+I192+I209+I213+I219+I225+I240</f>
        <v>1753714</v>
      </c>
      <c r="J242" s="14"/>
      <c r="K242" s="2"/>
      <c r="L242" s="2"/>
    </row>
    <row r="243" spans="1:12" ht="99.75" customHeight="1" x14ac:dyDescent="0.25">
      <c r="A243" s="62" t="s">
        <v>105</v>
      </c>
      <c r="B243" s="62"/>
      <c r="C243" s="62"/>
      <c r="D243" s="62"/>
      <c r="E243" s="62"/>
      <c r="F243" s="62"/>
      <c r="G243" s="62"/>
      <c r="H243" s="62"/>
      <c r="I243" s="62"/>
      <c r="J243" s="62"/>
      <c r="K243" s="2"/>
      <c r="L243" s="2"/>
    </row>
    <row r="244" spans="1:12" ht="15.75" x14ac:dyDescent="0.25">
      <c r="A244" s="2"/>
      <c r="B244" s="2"/>
      <c r="C244" s="2"/>
      <c r="D244" s="16"/>
      <c r="E244" s="16"/>
      <c r="F244" s="2"/>
      <c r="G244" s="2"/>
      <c r="H244" s="2"/>
      <c r="I244" s="54"/>
      <c r="J244" s="2"/>
      <c r="K244" s="2"/>
      <c r="L244" s="2"/>
    </row>
    <row r="245" spans="1:12" ht="15.75" x14ac:dyDescent="0.25">
      <c r="A245" s="2"/>
      <c r="B245" s="2"/>
      <c r="C245" s="2"/>
      <c r="D245" s="16"/>
      <c r="E245" s="16"/>
      <c r="F245" s="2"/>
      <c r="G245" s="2"/>
      <c r="H245" s="2"/>
      <c r="I245" s="2"/>
      <c r="J245" s="2"/>
      <c r="K245" s="2"/>
      <c r="L245" s="2"/>
    </row>
    <row r="246" spans="1:12" ht="15.75" x14ac:dyDescent="0.25">
      <c r="A246" s="2"/>
      <c r="B246" s="2"/>
      <c r="C246" s="2"/>
      <c r="D246" s="16"/>
      <c r="E246" s="16"/>
      <c r="F246" s="2"/>
      <c r="G246" s="2"/>
      <c r="H246" s="2"/>
      <c r="I246" s="2"/>
      <c r="J246" s="2"/>
      <c r="K246" s="2"/>
      <c r="L246" s="2"/>
    </row>
    <row r="247" spans="1:12" ht="15.75" x14ac:dyDescent="0.25">
      <c r="A247" s="2"/>
      <c r="B247" s="2"/>
      <c r="C247" s="2"/>
      <c r="D247" s="16"/>
      <c r="E247" s="16"/>
      <c r="F247" s="2"/>
      <c r="G247" s="2"/>
      <c r="H247" s="2"/>
      <c r="I247" s="2"/>
      <c r="J247" s="54"/>
      <c r="K247" s="2"/>
      <c r="L247" s="2"/>
    </row>
    <row r="248" spans="1:12" ht="15.75" x14ac:dyDescent="0.25">
      <c r="A248" s="2"/>
      <c r="B248" s="2"/>
      <c r="C248" s="2"/>
      <c r="D248" s="16"/>
      <c r="E248" s="16"/>
      <c r="F248" s="2"/>
      <c r="G248" s="2"/>
      <c r="H248" s="2"/>
      <c r="I248" s="2"/>
      <c r="J248" s="2"/>
      <c r="K248" s="2"/>
      <c r="L248" s="2"/>
    </row>
    <row r="249" spans="1:12" ht="15.75" x14ac:dyDescent="0.25">
      <c r="A249" s="2"/>
      <c r="B249" s="2"/>
      <c r="C249" s="2"/>
      <c r="D249" s="16"/>
      <c r="E249" s="16"/>
      <c r="F249" s="2"/>
      <c r="G249" s="2"/>
      <c r="H249" s="2"/>
      <c r="I249" s="2"/>
      <c r="J249" s="2"/>
      <c r="K249" s="2"/>
      <c r="L249" s="2"/>
    </row>
    <row r="250" spans="1:12" ht="15.75" x14ac:dyDescent="0.25">
      <c r="A250" s="2"/>
      <c r="B250" s="2"/>
      <c r="C250" s="2"/>
      <c r="D250" s="16"/>
      <c r="E250" s="16"/>
      <c r="F250" s="2"/>
      <c r="G250" s="2"/>
      <c r="H250" s="2"/>
      <c r="I250" s="2"/>
      <c r="J250" s="2" t="s">
        <v>294</v>
      </c>
      <c r="K250" s="2"/>
      <c r="L250" s="2"/>
    </row>
    <row r="251" spans="1:12" ht="15.75" x14ac:dyDescent="0.25">
      <c r="A251" s="2"/>
      <c r="B251" s="2"/>
      <c r="C251" s="2"/>
      <c r="D251" s="16"/>
      <c r="E251" s="16"/>
      <c r="F251" s="2"/>
      <c r="G251" s="2"/>
      <c r="H251" s="2"/>
      <c r="I251" s="2"/>
      <c r="J251" s="2"/>
      <c r="K251" s="2"/>
      <c r="L251" s="2"/>
    </row>
    <row r="252" spans="1:12" ht="15.75" x14ac:dyDescent="0.25">
      <c r="A252" s="2"/>
      <c r="B252" s="2"/>
      <c r="C252" s="2"/>
      <c r="D252" s="16"/>
      <c r="E252" s="16"/>
      <c r="F252" s="2"/>
      <c r="G252" s="2"/>
      <c r="H252" s="2"/>
      <c r="I252" s="2"/>
      <c r="J252" s="2"/>
      <c r="K252" s="2"/>
      <c r="L252" s="2"/>
    </row>
    <row r="253" spans="1:12" ht="15.75" x14ac:dyDescent="0.25">
      <c r="A253" s="2"/>
      <c r="B253" s="2"/>
      <c r="C253" s="2"/>
      <c r="D253" s="16"/>
      <c r="E253" s="16"/>
      <c r="F253" s="2"/>
      <c r="G253" s="2"/>
      <c r="H253" s="2"/>
      <c r="I253" s="2"/>
      <c r="J253" s="2"/>
      <c r="K253" s="2"/>
      <c r="L253" s="2"/>
    </row>
    <row r="254" spans="1:12" ht="15.75" x14ac:dyDescent="0.25">
      <c r="A254" s="2"/>
      <c r="B254" s="2"/>
      <c r="C254" s="2"/>
      <c r="D254" s="16"/>
      <c r="E254" s="16"/>
      <c r="F254" s="2"/>
      <c r="G254" s="2"/>
      <c r="H254" s="2"/>
      <c r="I254" s="2"/>
      <c r="J254" s="2"/>
      <c r="K254" s="2"/>
      <c r="L254" s="2"/>
    </row>
    <row r="255" spans="1:12" ht="15.75" x14ac:dyDescent="0.25">
      <c r="A255" s="2"/>
      <c r="B255" s="2"/>
      <c r="C255" s="2"/>
      <c r="D255" s="16"/>
      <c r="E255" s="16"/>
      <c r="F255" s="2"/>
      <c r="G255" s="2"/>
      <c r="H255" s="2"/>
      <c r="I255" s="2"/>
      <c r="J255" s="2"/>
      <c r="K255" s="2"/>
      <c r="L255" s="2"/>
    </row>
    <row r="256" spans="1:12" ht="15.75" x14ac:dyDescent="0.25">
      <c r="A256" s="2"/>
      <c r="B256" s="2"/>
      <c r="C256" s="2"/>
      <c r="D256" s="16"/>
      <c r="E256" s="16"/>
      <c r="F256" s="2"/>
      <c r="G256" s="2"/>
      <c r="H256" s="2"/>
      <c r="I256" s="2"/>
      <c r="J256" s="2"/>
      <c r="K256" s="2"/>
      <c r="L256" s="2"/>
    </row>
    <row r="257" spans="1:12" ht="15.75" x14ac:dyDescent="0.25">
      <c r="A257" s="2"/>
      <c r="B257" s="2"/>
      <c r="C257" s="2"/>
      <c r="D257" s="16"/>
      <c r="E257" s="16"/>
      <c r="F257" s="2"/>
      <c r="G257" s="2"/>
      <c r="H257" s="2"/>
      <c r="I257" s="2"/>
      <c r="J257" s="2"/>
      <c r="K257" s="2"/>
      <c r="L257" s="2"/>
    </row>
    <row r="258" spans="1:12" ht="15.75" x14ac:dyDescent="0.25">
      <c r="A258" s="2"/>
      <c r="B258" s="2"/>
      <c r="C258" s="2"/>
      <c r="D258" s="16"/>
      <c r="E258" s="16"/>
      <c r="F258" s="2"/>
      <c r="G258" s="2"/>
      <c r="H258" s="2"/>
      <c r="I258" s="2"/>
      <c r="J258" s="2"/>
      <c r="K258" s="2"/>
      <c r="L258" s="2"/>
    </row>
    <row r="259" spans="1:12" ht="15.75" x14ac:dyDescent="0.25">
      <c r="A259" s="2"/>
      <c r="B259" s="2"/>
      <c r="C259" s="2"/>
      <c r="D259" s="16"/>
      <c r="E259" s="16"/>
      <c r="F259" s="2"/>
      <c r="G259" s="2"/>
      <c r="H259" s="2"/>
      <c r="I259" s="2"/>
      <c r="J259" s="2"/>
      <c r="K259" s="2"/>
      <c r="L259" s="2"/>
    </row>
    <row r="260" spans="1:12" ht="15.75" x14ac:dyDescent="0.25">
      <c r="A260" s="2"/>
      <c r="B260" s="2"/>
      <c r="C260" s="2"/>
      <c r="D260" s="16"/>
      <c r="E260" s="16"/>
      <c r="F260" s="2"/>
      <c r="G260" s="2"/>
      <c r="H260" s="2"/>
      <c r="I260" s="2"/>
      <c r="J260" s="2"/>
      <c r="K260" s="2"/>
      <c r="L260" s="2"/>
    </row>
    <row r="261" spans="1:12" ht="15.75" x14ac:dyDescent="0.25">
      <c r="A261" s="2"/>
      <c r="B261" s="2"/>
      <c r="C261" s="2"/>
      <c r="D261" s="16"/>
      <c r="E261" s="16"/>
      <c r="F261" s="2"/>
      <c r="G261" s="2"/>
      <c r="H261" s="2"/>
      <c r="I261" s="2"/>
      <c r="J261" s="2"/>
      <c r="K261" s="2"/>
      <c r="L261" s="2"/>
    </row>
    <row r="262" spans="1:12" ht="15.75" x14ac:dyDescent="0.25">
      <c r="A262" s="2"/>
      <c r="B262" s="2"/>
      <c r="C262" s="2"/>
      <c r="D262" s="16"/>
      <c r="E262" s="16"/>
      <c r="F262" s="2"/>
      <c r="G262" s="2"/>
      <c r="H262" s="2"/>
      <c r="I262" s="2"/>
      <c r="J262" s="2"/>
      <c r="K262" s="2"/>
      <c r="L262" s="2"/>
    </row>
    <row r="263" spans="1:12" ht="15.75" x14ac:dyDescent="0.25">
      <c r="A263" s="2"/>
      <c r="B263" s="2"/>
      <c r="C263" s="2"/>
      <c r="D263" s="16"/>
      <c r="E263" s="16"/>
      <c r="F263" s="2"/>
      <c r="G263" s="2"/>
      <c r="H263" s="2"/>
      <c r="I263" s="2"/>
      <c r="J263" s="2"/>
      <c r="K263" s="2"/>
      <c r="L263" s="2"/>
    </row>
    <row r="264" spans="1:12" ht="15.75" x14ac:dyDescent="0.25">
      <c r="A264" s="2"/>
      <c r="B264" s="2"/>
      <c r="C264" s="2"/>
      <c r="D264" s="16"/>
      <c r="E264" s="16"/>
      <c r="F264" s="2"/>
      <c r="G264" s="2"/>
      <c r="H264" s="2"/>
      <c r="I264" s="2"/>
      <c r="J264" s="2"/>
      <c r="K264" s="2"/>
      <c r="L264" s="2"/>
    </row>
    <row r="265" spans="1:12" ht="15.75" x14ac:dyDescent="0.25">
      <c r="A265" s="2"/>
      <c r="B265" s="2"/>
      <c r="C265" s="2"/>
      <c r="D265" s="16"/>
      <c r="E265" s="16"/>
      <c r="F265" s="2"/>
      <c r="G265" s="2"/>
      <c r="H265" s="2"/>
      <c r="I265" s="2"/>
      <c r="J265" s="2"/>
      <c r="K265" s="2"/>
      <c r="L265" s="2"/>
    </row>
    <row r="266" spans="1:12" ht="15.75" x14ac:dyDescent="0.25">
      <c r="A266" s="2"/>
      <c r="B266" s="2"/>
      <c r="C266" s="2"/>
      <c r="D266" s="16"/>
      <c r="E266" s="16"/>
      <c r="F266" s="2"/>
      <c r="G266" s="2"/>
      <c r="H266" s="2"/>
      <c r="I266" s="2"/>
      <c r="J266" s="2"/>
      <c r="K266" s="2"/>
      <c r="L266" s="2"/>
    </row>
    <row r="267" spans="1:12" ht="15.75" x14ac:dyDescent="0.25">
      <c r="A267" s="2"/>
      <c r="B267" s="2"/>
      <c r="C267" s="2"/>
      <c r="D267" s="16"/>
      <c r="E267" s="16"/>
      <c r="F267" s="2"/>
      <c r="G267" s="2"/>
      <c r="H267" s="2"/>
      <c r="I267" s="2"/>
      <c r="J267" s="2"/>
      <c r="K267" s="2"/>
      <c r="L267" s="2"/>
    </row>
    <row r="268" spans="1:12" ht="15.75" x14ac:dyDescent="0.25">
      <c r="A268" s="2"/>
      <c r="B268" s="2"/>
      <c r="C268" s="2"/>
      <c r="D268" s="16"/>
      <c r="E268" s="16"/>
      <c r="F268" s="2"/>
      <c r="G268" s="2"/>
      <c r="H268" s="2"/>
      <c r="I268" s="2"/>
      <c r="J268" s="2"/>
      <c r="K268" s="2"/>
      <c r="L268" s="2"/>
    </row>
    <row r="269" spans="1:12" ht="15.75" x14ac:dyDescent="0.25">
      <c r="A269" s="2"/>
      <c r="B269" s="2"/>
      <c r="C269" s="2"/>
      <c r="D269" s="16"/>
      <c r="E269" s="16"/>
      <c r="F269" s="2"/>
      <c r="G269" s="2"/>
      <c r="H269" s="2"/>
      <c r="I269" s="2"/>
      <c r="J269" s="2"/>
      <c r="K269" s="2"/>
      <c r="L269" s="2"/>
    </row>
  </sheetData>
  <mergeCells count="16">
    <mergeCell ref="A243:J243"/>
    <mergeCell ref="A2:J2"/>
    <mergeCell ref="A226:G226"/>
    <mergeCell ref="H226:J226"/>
    <mergeCell ref="I1:J1"/>
    <mergeCell ref="A158:G158"/>
    <mergeCell ref="A193:G193"/>
    <mergeCell ref="A220:G220"/>
    <mergeCell ref="A42:G42"/>
    <mergeCell ref="A20:G20"/>
    <mergeCell ref="A4:G4"/>
    <mergeCell ref="A210:G210"/>
    <mergeCell ref="A100:G100"/>
    <mergeCell ref="A136:G136"/>
    <mergeCell ref="A184:G184"/>
    <mergeCell ref="A214:G214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2024-03-06T11:09:16Z</dcterms:modified>
</cp:coreProperties>
</file>