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3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82" i="1" l="1"/>
  <c r="I15" i="1"/>
  <c r="I38" i="1"/>
  <c r="I56" i="1"/>
  <c r="I95" i="1"/>
  <c r="I109" i="1"/>
  <c r="I128" i="1"/>
  <c r="I138" i="1"/>
  <c r="I152" i="1"/>
  <c r="I180" i="1"/>
  <c r="I107" i="1"/>
  <c r="I181" i="1"/>
  <c r="H170" i="1"/>
  <c r="F170" i="1"/>
  <c r="H169" i="1"/>
  <c r="F169" i="1"/>
  <c r="H179" i="1"/>
  <c r="F179" i="1"/>
  <c r="I141" i="1"/>
  <c r="H141" i="1"/>
  <c r="F141" i="1"/>
  <c r="I136" i="1"/>
  <c r="H136" i="1"/>
  <c r="F136" i="1"/>
  <c r="H131" i="1"/>
  <c r="F131" i="1"/>
  <c r="H125" i="1"/>
  <c r="F125" i="1"/>
  <c r="I122" i="1"/>
  <c r="H122" i="1"/>
  <c r="F122" i="1"/>
  <c r="H41" i="1"/>
  <c r="F41" i="1"/>
  <c r="H151" i="1"/>
  <c r="F151" i="1"/>
  <c r="H148" i="1"/>
  <c r="F148" i="1"/>
  <c r="H146" i="1"/>
  <c r="F146" i="1"/>
  <c r="F97" i="1"/>
  <c r="H97" i="1" s="1"/>
  <c r="H111" i="1"/>
  <c r="F111" i="1"/>
  <c r="I111" i="1" s="1"/>
  <c r="H130" i="1"/>
  <c r="F130" i="1"/>
  <c r="H132" i="1"/>
  <c r="F132" i="1"/>
  <c r="H134" i="1"/>
  <c r="F134" i="1"/>
  <c r="H62" i="1"/>
  <c r="F62" i="1"/>
  <c r="H59" i="1"/>
  <c r="I81" i="1"/>
  <c r="H91" i="1"/>
  <c r="F91" i="1"/>
  <c r="H172" i="1"/>
  <c r="F172" i="1"/>
  <c r="I171" i="1"/>
  <c r="H171" i="1"/>
  <c r="F171" i="1"/>
  <c r="I41" i="1" l="1"/>
  <c r="I97" i="1"/>
  <c r="I6" i="1"/>
  <c r="H6" i="1"/>
  <c r="H76" i="1"/>
  <c r="F76" i="1"/>
  <c r="H72" i="1"/>
  <c r="H71" i="1"/>
  <c r="I71" i="1" s="1"/>
  <c r="H70" i="1"/>
  <c r="I89" i="1"/>
  <c r="H89" i="1"/>
  <c r="H88" i="1"/>
  <c r="F88" i="1"/>
  <c r="I87" i="1"/>
  <c r="H87" i="1"/>
  <c r="F87" i="1"/>
  <c r="I86" i="1"/>
  <c r="H86" i="1"/>
  <c r="F86" i="1"/>
  <c r="I85" i="1"/>
  <c r="H85" i="1"/>
  <c r="F85" i="1"/>
  <c r="I77" i="1"/>
  <c r="H77" i="1"/>
  <c r="F77" i="1"/>
  <c r="I44" i="1"/>
  <c r="H44" i="1"/>
  <c r="F44" i="1"/>
  <c r="I42" i="1"/>
  <c r="H42" i="1"/>
  <c r="F42" i="1"/>
  <c r="H107" i="1"/>
  <c r="F107" i="1"/>
  <c r="H135" i="1"/>
  <c r="F135" i="1"/>
  <c r="I70" i="1" l="1"/>
  <c r="I72" i="1"/>
  <c r="I88" i="1"/>
  <c r="I127" i="1"/>
  <c r="H127" i="1"/>
  <c r="F127" i="1"/>
  <c r="I125" i="1"/>
  <c r="H145" i="1"/>
  <c r="F145" i="1"/>
  <c r="H22" i="1" l="1"/>
  <c r="F22" i="1"/>
  <c r="I178" i="1"/>
  <c r="F178" i="1"/>
  <c r="I102" i="1"/>
  <c r="H102" i="1"/>
  <c r="F102" i="1"/>
  <c r="I101" i="1"/>
  <c r="H101" i="1"/>
  <c r="F101" i="1"/>
  <c r="I100" i="1"/>
  <c r="H100" i="1"/>
  <c r="F100" i="1"/>
  <c r="I135" i="1"/>
  <c r="I104" i="1"/>
  <c r="H104" i="1"/>
  <c r="F104" i="1"/>
  <c r="H81" i="1"/>
  <c r="F81" i="1"/>
  <c r="H74" i="1"/>
  <c r="F74" i="1"/>
  <c r="I91" i="1"/>
  <c r="H61" i="1"/>
  <c r="F61" i="1"/>
  <c r="H60" i="1"/>
  <c r="F60" i="1"/>
  <c r="H82" i="1" l="1"/>
  <c r="F82" i="1"/>
  <c r="H150" i="1"/>
  <c r="F150" i="1"/>
  <c r="H80" i="1" l="1"/>
  <c r="F80" i="1"/>
  <c r="H64" i="1"/>
  <c r="H63" i="1"/>
  <c r="F63" i="1"/>
  <c r="H68" i="1"/>
  <c r="F68" i="1"/>
  <c r="H177" i="1"/>
  <c r="F177" i="1"/>
  <c r="I177" i="1" l="1"/>
  <c r="H154" i="1" l="1"/>
  <c r="F154" i="1"/>
  <c r="I169" i="1" l="1"/>
  <c r="I75" i="1"/>
  <c r="H75" i="1"/>
  <c r="F75" i="1"/>
  <c r="F167" i="1"/>
  <c r="I167" i="1" s="1"/>
  <c r="H105" i="1"/>
  <c r="F105" i="1"/>
  <c r="I105" i="1" s="1"/>
  <c r="F59" i="1"/>
  <c r="I170" i="1" l="1"/>
  <c r="I162" i="1"/>
  <c r="I29" i="1" l="1"/>
  <c r="I28" i="1"/>
  <c r="I27" i="1"/>
  <c r="I19" i="1"/>
  <c r="I21" i="1"/>
  <c r="I20" i="1"/>
  <c r="I22" i="1"/>
  <c r="I172" i="1"/>
  <c r="H40" i="1"/>
  <c r="I40" i="1" s="1"/>
  <c r="I92" i="1"/>
  <c r="I144" i="1"/>
  <c r="I143" i="1"/>
  <c r="I76" i="1"/>
  <c r="I80" i="1"/>
  <c r="I82" i="1"/>
  <c r="I132" i="1"/>
  <c r="I130" i="1"/>
  <c r="I59" i="1"/>
  <c r="I84" i="1"/>
  <c r="I149" i="1"/>
  <c r="I145" i="1"/>
  <c r="I147" i="1"/>
  <c r="I146" i="1"/>
  <c r="I179" i="1" l="1"/>
  <c r="I131" i="1"/>
  <c r="I150" i="1"/>
  <c r="I74" i="1" l="1"/>
  <c r="I69" i="1"/>
  <c r="I154" i="1"/>
  <c r="I156" i="1" s="1"/>
  <c r="I64" i="1"/>
  <c r="I63" i="1"/>
  <c r="I68" i="1" l="1"/>
  <c r="I62" i="1"/>
  <c r="I151" i="1" l="1"/>
  <c r="I61" i="1" l="1"/>
  <c r="I60" i="1"/>
  <c r="I148" i="1"/>
  <c r="I158" i="1" l="1"/>
  <c r="I155" i="1"/>
</calcChain>
</file>

<file path=xl/sharedStrings.xml><?xml version="1.0" encoding="utf-8"?>
<sst xmlns="http://schemas.openxmlformats.org/spreadsheetml/2006/main" count="749" uniqueCount="252">
  <si>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</si>
  <si>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</si>
  <si>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</si>
  <si>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</si>
  <si>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</si>
  <si>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</si>
  <si>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</si>
  <si>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</si>
  <si>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</si>
  <si>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</si>
  <si>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</si>
  <si>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</si>
  <si>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</si>
  <si>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</si>
  <si>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</si>
  <si>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</si>
  <si>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</si>
  <si>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</si>
  <si>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</si>
  <si>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</si>
  <si>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</si>
  <si>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</si>
  <si>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</si>
  <si>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</si>
  <si>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</si>
  <si>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</si>
  <si>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</si>
  <si>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</si>
  <si>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</si>
  <si>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</si>
  <si>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</si>
  <si>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</si>
  <si>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</si>
  <si>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</si>
  <si>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</si>
  <si>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</si>
  <si>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</si>
  <si>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</si>
  <si>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</si>
  <si>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</si>
  <si>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</si>
  <si>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</si>
  <si>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</si>
  <si>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</si>
  <si>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</si>
  <si>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</si>
  <si>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</si>
  <si>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</si>
  <si>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</si>
  <si>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</si>
  <si>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</si>
  <si>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</si>
  <si>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</si>
  <si>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</si>
  <si>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</si>
  <si>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</si>
  <si>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</si>
  <si>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</si>
  <si>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</si>
  <si>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</si>
  <si>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</si>
  <si>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</si>
  <si>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</si>
  <si>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</si>
  <si>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</si>
  <si>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</si>
  <si>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</si>
  <si>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</si>
  <si>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</si>
  <si>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</si>
  <si>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</si>
  <si>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</si>
  <si>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</si>
  <si>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</si>
  <si>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</si>
  <si>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</si>
  <si>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</si>
  <si>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</si>
  <si>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</si>
  <si>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</si>
  <si>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</si>
  <si>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</si>
  <si>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</si>
  <si>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</si>
  <si>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</si>
  <si>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</si>
  <si>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</si>
  <si>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</si>
  <si>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</si>
  <si>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</si>
  <si>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</si>
  <si>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</si>
  <si>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</si>
  <si>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</si>
  <si>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</si>
  <si>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</si>
  <si>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</si>
  <si>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</si>
  <si>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</si>
  <si>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</si>
  <si>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</si>
  <si>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</si>
  <si>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</si>
  <si>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</si>
  <si>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</si>
  <si>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</si>
  <si>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</si>
  <si>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</si>
  <si>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</si>
  <si>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</si>
  <si>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</si>
  <si>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</si>
  <si>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</si>
  <si>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</si>
  <si>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</si>
  <si>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</si>
  <si>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</si>
  <si>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</si>
  <si>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</si>
  <si>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</si>
  <si>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</si>
  <si>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2 квартал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</si>
  <si>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</si>
  <si>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</si>
  <si>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</si>
  <si>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</si>
  <si>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</si>
  <si>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</si>
  <si>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</si>
  <si>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</si>
  <si>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</si>
  <si>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</si>
  <si>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</si>
  <si>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</si>
  <si>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</si>
  <si>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</si>
  <si>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</si>
  <si>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</si>
  <si>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каналов</t>
  </si>
  <si>
    <t>−</t>
  </si>
  <si>
    <t>контроль исправности оборудования и ремонт силового предохранительного шкафа</t>
  </si>
  <si>
    <t>наличие и герметичность приборов отопления</t>
  </si>
  <si>
    <t>услуга</t>
  </si>
  <si>
    <t>м</t>
  </si>
  <si>
    <t>благоустройство</t>
  </si>
  <si>
    <t>1 квартал</t>
  </si>
  <si>
    <t>1,3,4квартал</t>
  </si>
  <si>
    <t>установка насосов</t>
  </si>
  <si>
    <t>сгон</t>
  </si>
  <si>
    <t>прокладка внутренних трубпроводов водоснабжения и отопления из полипропиленовых труб:диам. 25мм</t>
  </si>
  <si>
    <t>1 врезка</t>
  </si>
  <si>
    <t>ремонт/частичная замена поврежденных участков при помощи альпинистов</t>
  </si>
  <si>
    <t>очистка канализационной сети дворовой</t>
  </si>
  <si>
    <t>демонтаж грязевиков</t>
  </si>
  <si>
    <t>установка хомутов диаметром трубопроводов до 100мм</t>
  </si>
  <si>
    <t>прочистка фильтров диам. 80мм</t>
  </si>
  <si>
    <t>ремонт приемного клапана мусоропровода</t>
  </si>
  <si>
    <t>МОП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</si>
  <si>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</si>
  <si>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</si>
  <si>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усиление сварных швов наплавкой</t>
  </si>
  <si>
    <t>1м шва</t>
  </si>
  <si>
    <t>смена кабелей двух-четырехжильных</t>
  </si>
  <si>
    <t>ремонт штукатурки гладких фасадов по камню и бетону</t>
  </si>
  <si>
    <t>врезка в действующие сети трубопроводов отопления и водоснабжения диам. 32мм</t>
  </si>
  <si>
    <t>смена сгонов у трубопроводов диам. 32мм</t>
  </si>
  <si>
    <t>врезка в действующие сети трубопроводов отопления и водоснабжения диам. 20мм</t>
  </si>
  <si>
    <t>врезка в действующие сети трубопроводов отопления и водоснабжения диам. 15мм</t>
  </si>
  <si>
    <t>установка кранов шаровых на трубопроводах из стальных труб диам.65мм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</si>
  <si>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</si>
  <si>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</si>
  <si>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</si>
  <si>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</si>
  <si>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прокладка внутренних трубпроводов водоснабжения и отопления из полипропиленовых труб:диам. 32мм</t>
  </si>
  <si>
    <t>прокладка внутренних трубпроводов водоснабжения и отопления из полипропиленовых труб:диам. 20мм</t>
  </si>
  <si>
    <t>смена внутренних трубопроводов с заготовкой труб в построечных условиях диам. 20мм</t>
  </si>
  <si>
    <t>смена внутренних трубопроводов с заготовкой труб в построечных условиях диам. 32мм</t>
  </si>
  <si>
    <t>смена внутренних трубопроводов с заготовкой труб в построечных условиях диам. 50мм</t>
  </si>
  <si>
    <t>смена ламп накаливания</t>
  </si>
  <si>
    <t>демонтаж элеваторов</t>
  </si>
  <si>
    <t>установка грязевиков наружным диам. патрубков до 57мм после прочистки</t>
  </si>
  <si>
    <t>прочистка фильтров диам. 50мм</t>
  </si>
  <si>
    <t>водоотлив из подвала электрическими нососами</t>
  </si>
  <si>
    <t>водоотлив из подвала ведрами</t>
  </si>
  <si>
    <t>смена сгонов у трубопроводов диам. 20мм</t>
  </si>
  <si>
    <t>смена отдельных участков трубопроводов с заготовкой труб в построечных условиях диам. до 20мм</t>
  </si>
  <si>
    <t>смена отдельных участков трубопроводов с заготовкой труб в построечных условиях диам. до 50мм</t>
  </si>
  <si>
    <t>врезка в действующие сети трубопроводов отопления и водоснабжения диам. 25мм</t>
  </si>
  <si>
    <t>ремонт межпанельных швов без вскрытия</t>
  </si>
  <si>
    <t>ремонт межпанельных швов со вскрытием и заменй утеплителя</t>
  </si>
  <si>
    <t>ремонт мягкого покрытия кровли в 1 слой</t>
  </si>
  <si>
    <t>смена выключателей</t>
  </si>
  <si>
    <t>установка пружин</t>
  </si>
  <si>
    <t>разборка покрытий полов из керамических плиток</t>
  </si>
  <si>
    <t>устройство покрытий из керамогранитных плиток размером 30х30</t>
  </si>
  <si>
    <t>1м3 заделки</t>
  </si>
  <si>
    <t>заделка подвальных окон железом</t>
  </si>
  <si>
    <t>ремонт и восстановление уплотнения стыков прокладками ПРП в 1 ряд насухо</t>
  </si>
  <si>
    <t>смена ламп люминесцентных</t>
  </si>
  <si>
    <t>смена розеток</t>
  </si>
  <si>
    <t>установка элеваторов после прочистки</t>
  </si>
  <si>
    <t>ремонт задвижек диаметром до 100мм без снятия с места</t>
  </si>
  <si>
    <t>усиление сварных швов( наплавкой) ремонт петли дверной</t>
  </si>
  <si>
    <t>1 м шва</t>
  </si>
  <si>
    <t>установка термометров</t>
  </si>
  <si>
    <t>смена досок на скамейках</t>
  </si>
  <si>
    <t>простая окраска масляными составами ранее окрашенных скамеек без подготовки с расчисткой старой краски до 10%</t>
  </si>
  <si>
    <t>м2 окрашиваемой поверхности</t>
  </si>
  <si>
    <t>ремонт групповых щитков на лестничной клетке без ремонта  автоматов</t>
  </si>
  <si>
    <t xml:space="preserve">ремонт и окраска дверей (восстановление фурнитуры и остекления) </t>
  </si>
  <si>
    <t>окраска масляными составами ранее окрвшенных металлических решеток и оград без рельефа за 2 раза</t>
  </si>
  <si>
    <t>демонтаж бетонных плитных тротуаров с заполнением швов цементным раствором</t>
  </si>
  <si>
    <t>м2 тротуара</t>
  </si>
  <si>
    <t>устройство покрытия толщиной 4см из горячих асфальтобетонных смесей</t>
  </si>
  <si>
    <t>м2 покрытия</t>
  </si>
  <si>
    <t xml:space="preserve">огрунтовка ранее окрашенных фасадов под окраску </t>
  </si>
  <si>
    <t xml:space="preserve">шпатлевка ранее окрашенных фасадов под окраску </t>
  </si>
  <si>
    <t>окраска масляными составами ранее окрашенных поверхностей труб стальных за 2 раза</t>
  </si>
  <si>
    <t>окраска масляными составами ранее окрашенных больших металлических поверхностей (кроме крыш)</t>
  </si>
  <si>
    <t>Всего</t>
  </si>
  <si>
    <t xml:space="preserve">
Отчет о выполнении работ по текущему ремонту общего имущества 
в многоквартирном доме по адресу: г.Щёлково, ул.8 Марта , дом 16  на 2023 г.
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</si>
  <si>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</si>
  <si>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</si>
  <si>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>1,2,34 квартал</t>
  </si>
  <si>
    <t>коврик ячеистый влаговпитывающий</t>
  </si>
  <si>
    <t>смена трубопроводов из ПВХ  труб диам. 100мм</t>
  </si>
  <si>
    <t xml:space="preserve">установка аншлага </t>
  </si>
  <si>
    <t xml:space="preserve"> смена кранов на шаровые краны диам.20,32мм</t>
  </si>
  <si>
    <t>смена задвижек на шаровые краны диам.80мм</t>
  </si>
  <si>
    <t>смена внутренних трубопроводов из стальных труб диам. 40мм</t>
  </si>
  <si>
    <t xml:space="preserve"> смена кранов на шаровые краны диам.15,20,32мм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</si>
  <si>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диам.20мм</t>
  </si>
  <si>
    <t>справка о техническом состоянии здания</t>
  </si>
  <si>
    <t xml:space="preserve"> смена кранов на шаровые краны диам.15 мм</t>
  </si>
  <si>
    <t>смена водомеров</t>
  </si>
  <si>
    <t>смена дверных приборов ручки-скобы</t>
  </si>
  <si>
    <t>ремонт дверей фанерой</t>
  </si>
  <si>
    <t>установка фланцевых соединений на стальных трубопроводах диам. 50мм</t>
  </si>
  <si>
    <t>демонтаж фланцевой арматуры диам. 50мм</t>
  </si>
  <si>
    <t>монтаж арматуры фланцевой диам. 50мм расходомер</t>
  </si>
  <si>
    <t>монтаж тепловычислителя</t>
  </si>
  <si>
    <t>демомонтаж тепловычислителя</t>
  </si>
  <si>
    <t>присоединение к приборам</t>
  </si>
  <si>
    <t>концов жил</t>
  </si>
  <si>
    <t>промазка фальцев и свищей</t>
  </si>
  <si>
    <t>окраска масляными составами ранее окрашенных металлических решеток и оград без рельефа за 1 раз</t>
  </si>
  <si>
    <t>простая окраска масляными составами ранее окрашенных бордюров без подготовки с расчисткой старой краски до 10%</t>
  </si>
  <si>
    <t>4 квартал</t>
  </si>
  <si>
    <t>установка обратного клапана диам.110мм</t>
  </si>
  <si>
    <t>смена магнитных пускателей</t>
  </si>
  <si>
    <t xml:space="preserve"> 4 квартал</t>
  </si>
  <si>
    <t>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</si>
</sst>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9" fillId="0" borderId="1" xfId="0" applyFont="1" applyBorder="1"/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8" fontId="3" fillId="0" borderId="0" xfId="0" applyNumberFormat="1" applyFont="1"/>
    <xf numFmtId="0" fontId="8" fillId="3" borderId="4" xfId="0" applyFont="1" applyFill="1" applyBorder="1" applyAlignment="1">
      <alignment horizontal="center" vertical="center" wrapText="1"/>
    </xf>
    <xf numFmtId="2" fontId="1" fillId="0" borderId="0" xfId="0" applyNumberFormat="1" applyFont="1"/>
    <xf numFmtId="0" fontId="9" fillId="0" borderId="1" xfId="0" applyFont="1" applyBorder="1" applyAlignment="1">
      <alignment horizontal="left"/>
    </xf>
    <xf numFmtId="2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9"/>
  <sheetViews>
    <sheetView tabSelected="1" topLeftCell="D173" zoomScale="91" zoomScaleNormal="91" workbookViewId="0">
      <selection activeCell="J189" sqref="J189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60" t="s">
        <v>97</v>
      </c>
      <c r="J1" s="60"/>
    </row>
    <row r="2" spans="1:12" ht="70.5" customHeight="1" x14ac:dyDescent="0.25">
      <c r="A2" s="55" t="s">
        <v>220</v>
      </c>
      <c r="B2" s="56"/>
      <c r="C2" s="56"/>
      <c r="D2" s="56"/>
      <c r="E2" s="56"/>
      <c r="F2" s="56"/>
      <c r="G2" s="56"/>
      <c r="H2" s="56"/>
      <c r="I2" s="56"/>
      <c r="J2" s="56"/>
      <c r="K2" s="2"/>
      <c r="L2" s="2"/>
    </row>
    <row r="3" spans="1:12" ht="75" x14ac:dyDescent="0.25">
      <c r="A3" s="20" t="s">
        <v>82</v>
      </c>
      <c r="B3" s="3"/>
      <c r="C3" s="3"/>
      <c r="D3" s="20" t="s">
        <v>101</v>
      </c>
      <c r="E3" s="20" t="s">
        <v>105</v>
      </c>
      <c r="F3" s="21" t="s">
        <v>103</v>
      </c>
      <c r="G3" s="21" t="s">
        <v>81</v>
      </c>
      <c r="H3" s="21" t="s">
        <v>80</v>
      </c>
      <c r="I3" s="21" t="s">
        <v>102</v>
      </c>
      <c r="J3" s="21" t="s">
        <v>104</v>
      </c>
      <c r="K3" s="2"/>
      <c r="L3" s="2"/>
    </row>
    <row r="4" spans="1:12" ht="18.75" x14ac:dyDescent="0.3">
      <c r="A4" s="61" t="s">
        <v>88</v>
      </c>
      <c r="B4" s="62"/>
      <c r="C4" s="62"/>
      <c r="D4" s="62"/>
      <c r="E4" s="62"/>
      <c r="F4" s="62"/>
      <c r="G4" s="63"/>
      <c r="H4" s="10"/>
      <c r="I4" s="10"/>
      <c r="J4" s="11"/>
      <c r="K4" s="2"/>
      <c r="L4" s="2"/>
    </row>
    <row r="5" spans="1:12" ht="18.75" x14ac:dyDescent="0.3">
      <c r="A5" s="6" t="s">
        <v>0</v>
      </c>
      <c r="B5" s="5"/>
      <c r="C5" s="4"/>
      <c r="D5" s="15" t="s">
        <v>190</v>
      </c>
      <c r="E5" s="41" t="s">
        <v>139</v>
      </c>
      <c r="F5" s="41" t="s">
        <v>139</v>
      </c>
      <c r="G5" s="13" t="s">
        <v>114</v>
      </c>
      <c r="H5" s="41" t="s">
        <v>139</v>
      </c>
      <c r="I5" s="41" t="s">
        <v>139</v>
      </c>
      <c r="J5" s="13"/>
      <c r="K5" s="2"/>
      <c r="L5" s="2"/>
    </row>
    <row r="6" spans="1:12" ht="18.75" x14ac:dyDescent="0.3">
      <c r="A6" s="6"/>
      <c r="B6" s="5"/>
      <c r="C6" s="4"/>
      <c r="D6" s="15" t="s">
        <v>244</v>
      </c>
      <c r="E6" s="41" t="s">
        <v>139</v>
      </c>
      <c r="F6" s="41">
        <v>32</v>
      </c>
      <c r="G6" s="13" t="s">
        <v>114</v>
      </c>
      <c r="H6" s="46">
        <f>2918/F6</f>
        <v>91.1875</v>
      </c>
      <c r="I6" s="67">
        <f>F6*H6</f>
        <v>2918</v>
      </c>
      <c r="J6" s="13"/>
      <c r="K6" s="2"/>
      <c r="L6" s="2"/>
    </row>
    <row r="7" spans="1:12" ht="35.25" customHeight="1" x14ac:dyDescent="0.3">
      <c r="A7" s="6" t="s">
        <v>1</v>
      </c>
      <c r="B7" s="5"/>
      <c r="C7" s="4"/>
      <c r="D7" s="15" t="s">
        <v>151</v>
      </c>
      <c r="E7" s="41" t="s">
        <v>139</v>
      </c>
      <c r="F7" s="41" t="s">
        <v>139</v>
      </c>
      <c r="G7" s="13" t="s">
        <v>30</v>
      </c>
      <c r="H7" s="41" t="s">
        <v>139</v>
      </c>
      <c r="I7" s="41" t="s">
        <v>139</v>
      </c>
      <c r="J7" s="13"/>
      <c r="K7" s="2"/>
      <c r="L7" s="2"/>
    </row>
    <row r="8" spans="1:12" ht="28.5" customHeight="1" x14ac:dyDescent="0.3">
      <c r="A8" s="6" t="s">
        <v>2</v>
      </c>
      <c r="B8" s="5"/>
      <c r="C8" s="4"/>
      <c r="D8" s="15" t="s">
        <v>39</v>
      </c>
      <c r="E8" s="41" t="s">
        <v>139</v>
      </c>
      <c r="F8" s="41" t="s">
        <v>139</v>
      </c>
      <c r="G8" s="13" t="s">
        <v>30</v>
      </c>
      <c r="H8" s="41" t="s">
        <v>139</v>
      </c>
      <c r="I8" s="41" t="s">
        <v>139</v>
      </c>
      <c r="J8" s="13"/>
      <c r="K8" s="2"/>
      <c r="L8" s="2"/>
    </row>
    <row r="9" spans="1:12" ht="18.75" x14ac:dyDescent="0.3">
      <c r="A9" s="7" t="s">
        <v>3</v>
      </c>
      <c r="B9" s="5"/>
      <c r="C9" s="4"/>
      <c r="D9" s="15" t="s">
        <v>38</v>
      </c>
      <c r="E9" s="41" t="s">
        <v>139</v>
      </c>
      <c r="F9" s="41" t="s">
        <v>139</v>
      </c>
      <c r="G9" s="13" t="s">
        <v>114</v>
      </c>
      <c r="H9" s="41" t="s">
        <v>139</v>
      </c>
      <c r="I9" s="41" t="s">
        <v>139</v>
      </c>
      <c r="J9" s="13"/>
      <c r="K9" s="2"/>
      <c r="L9" s="2"/>
    </row>
    <row r="10" spans="1:12" ht="32.25" x14ac:dyDescent="0.3">
      <c r="A10" s="6" t="s">
        <v>4</v>
      </c>
      <c r="B10" s="5"/>
      <c r="C10" s="4"/>
      <c r="D10" s="15" t="s">
        <v>37</v>
      </c>
      <c r="E10" s="41" t="s">
        <v>139</v>
      </c>
      <c r="F10" s="41" t="s">
        <v>139</v>
      </c>
      <c r="G10" s="13" t="s">
        <v>30</v>
      </c>
      <c r="H10" s="41" t="s">
        <v>139</v>
      </c>
      <c r="I10" s="41" t="s">
        <v>139</v>
      </c>
      <c r="J10" s="13"/>
      <c r="K10" s="2"/>
      <c r="L10" s="2"/>
    </row>
    <row r="11" spans="1:12" ht="18.75" x14ac:dyDescent="0.3">
      <c r="A11" s="6" t="s">
        <v>5</v>
      </c>
      <c r="B11" s="5"/>
      <c r="C11" s="4"/>
      <c r="D11" s="4" t="s">
        <v>87</v>
      </c>
      <c r="E11" s="41" t="s">
        <v>139</v>
      </c>
      <c r="F11" s="41" t="s">
        <v>139</v>
      </c>
      <c r="G11" s="13" t="s">
        <v>31</v>
      </c>
      <c r="H11" s="41" t="s">
        <v>139</v>
      </c>
      <c r="I11" s="41" t="s">
        <v>139</v>
      </c>
      <c r="J11" s="13"/>
      <c r="K11" s="2"/>
      <c r="L11" s="2"/>
    </row>
    <row r="12" spans="1:12" ht="37.5" x14ac:dyDescent="0.3">
      <c r="A12" s="6" t="s">
        <v>6</v>
      </c>
      <c r="B12" s="5"/>
      <c r="C12" s="4"/>
      <c r="D12" s="4" t="s">
        <v>36</v>
      </c>
      <c r="E12" s="41" t="s">
        <v>139</v>
      </c>
      <c r="F12" s="41" t="s">
        <v>139</v>
      </c>
      <c r="G12" s="14" t="s">
        <v>31</v>
      </c>
      <c r="H12" s="41" t="s">
        <v>139</v>
      </c>
      <c r="I12" s="41" t="s">
        <v>139</v>
      </c>
      <c r="J12" s="13"/>
      <c r="K12" s="2"/>
      <c r="L12" s="2"/>
    </row>
    <row r="13" spans="1:12" ht="32.25" x14ac:dyDescent="0.3">
      <c r="A13" s="6" t="s">
        <v>63</v>
      </c>
      <c r="B13" s="5"/>
      <c r="C13" s="4"/>
      <c r="D13" s="15" t="s">
        <v>52</v>
      </c>
      <c r="E13" s="41" t="s">
        <v>139</v>
      </c>
      <c r="F13" s="41" t="s">
        <v>139</v>
      </c>
      <c r="G13" s="13" t="s">
        <v>30</v>
      </c>
      <c r="H13" s="41" t="s">
        <v>139</v>
      </c>
      <c r="I13" s="41" t="s">
        <v>139</v>
      </c>
      <c r="J13" s="13"/>
      <c r="L13" s="2"/>
    </row>
    <row r="14" spans="1:12" ht="27" customHeight="1" x14ac:dyDescent="0.3">
      <c r="A14" s="6" t="s">
        <v>7</v>
      </c>
      <c r="B14" s="5"/>
      <c r="C14" s="4"/>
      <c r="D14" s="15" t="s">
        <v>34</v>
      </c>
      <c r="E14" s="41" t="s">
        <v>139</v>
      </c>
      <c r="F14" s="41" t="s">
        <v>139</v>
      </c>
      <c r="G14" s="13" t="s">
        <v>30</v>
      </c>
      <c r="H14" s="41" t="s">
        <v>139</v>
      </c>
      <c r="I14" s="41" t="s">
        <v>139</v>
      </c>
      <c r="J14" s="13"/>
      <c r="K14" s="2"/>
      <c r="L14" s="2"/>
    </row>
    <row r="15" spans="1:12" ht="27" customHeight="1" x14ac:dyDescent="0.3">
      <c r="A15" s="28"/>
      <c r="B15" s="22"/>
      <c r="C15" s="22"/>
      <c r="D15" s="30"/>
      <c r="E15" s="45"/>
      <c r="F15" s="45"/>
      <c r="G15" s="31"/>
      <c r="H15" s="41"/>
      <c r="I15" s="41">
        <f>SUM(I6:I14)</f>
        <v>2918</v>
      </c>
      <c r="J15" s="13"/>
      <c r="K15" s="2"/>
      <c r="L15" s="2"/>
    </row>
    <row r="16" spans="1:12" ht="18.75" x14ac:dyDescent="0.3">
      <c r="A16" s="61" t="s">
        <v>56</v>
      </c>
      <c r="B16" s="62"/>
      <c r="C16" s="62"/>
      <c r="D16" s="62"/>
      <c r="E16" s="62"/>
      <c r="F16" s="62"/>
      <c r="G16" s="63"/>
      <c r="H16" s="14"/>
      <c r="I16" s="5"/>
      <c r="J16" s="13"/>
      <c r="L16" s="2"/>
    </row>
    <row r="17" spans="1:12" ht="18.75" x14ac:dyDescent="0.3">
      <c r="A17" s="6" t="s">
        <v>19</v>
      </c>
      <c r="B17" s="5"/>
      <c r="C17" s="4"/>
      <c r="D17" s="4" t="s">
        <v>96</v>
      </c>
      <c r="E17" s="41" t="s">
        <v>139</v>
      </c>
      <c r="F17" s="41" t="s">
        <v>139</v>
      </c>
      <c r="G17" s="14" t="s">
        <v>54</v>
      </c>
      <c r="H17" s="41" t="s">
        <v>139</v>
      </c>
      <c r="I17" s="41" t="s">
        <v>139</v>
      </c>
      <c r="J17" s="13"/>
      <c r="L17" s="2"/>
    </row>
    <row r="18" spans="1:12" ht="18.75" x14ac:dyDescent="0.3">
      <c r="A18" s="6" t="s">
        <v>13</v>
      </c>
      <c r="B18" s="5"/>
      <c r="C18" s="4"/>
      <c r="D18" s="4" t="s">
        <v>41</v>
      </c>
      <c r="E18" s="41" t="s">
        <v>139</v>
      </c>
      <c r="F18" s="41" t="s">
        <v>139</v>
      </c>
      <c r="G18" s="14" t="s">
        <v>53</v>
      </c>
      <c r="H18" s="41" t="s">
        <v>139</v>
      </c>
      <c r="I18" s="41" t="s">
        <v>139</v>
      </c>
      <c r="J18" s="13"/>
      <c r="L18" s="2"/>
    </row>
    <row r="19" spans="1:12" ht="18.75" x14ac:dyDescent="0.3">
      <c r="A19" s="6" t="s">
        <v>9</v>
      </c>
      <c r="B19" s="5"/>
      <c r="C19" s="4"/>
      <c r="D19" s="4" t="s">
        <v>35</v>
      </c>
      <c r="E19" s="41"/>
      <c r="F19" s="41"/>
      <c r="G19" s="14" t="s">
        <v>114</v>
      </c>
      <c r="H19" s="41">
        <v>201.36</v>
      </c>
      <c r="I19" s="41">
        <f>F19*H19</f>
        <v>0</v>
      </c>
      <c r="J19" s="13" t="s">
        <v>121</v>
      </c>
      <c r="K19" s="2"/>
      <c r="L19" s="2"/>
    </row>
    <row r="20" spans="1:12" ht="32.25" x14ac:dyDescent="0.3">
      <c r="A20" s="6"/>
      <c r="B20" s="5"/>
      <c r="C20" s="4"/>
      <c r="D20" s="15" t="s">
        <v>215</v>
      </c>
      <c r="E20" s="41"/>
      <c r="F20" s="41"/>
      <c r="G20" s="14" t="s">
        <v>114</v>
      </c>
      <c r="H20" s="41">
        <v>62.44</v>
      </c>
      <c r="I20" s="41">
        <f>F20*H20</f>
        <v>0</v>
      </c>
      <c r="J20" s="13" t="s">
        <v>121</v>
      </c>
      <c r="K20" s="2"/>
      <c r="L20" s="2"/>
    </row>
    <row r="21" spans="1:12" ht="32.25" x14ac:dyDescent="0.3">
      <c r="A21" s="6"/>
      <c r="B21" s="5"/>
      <c r="C21" s="4"/>
      <c r="D21" s="15" t="s">
        <v>216</v>
      </c>
      <c r="E21" s="41"/>
      <c r="F21" s="41"/>
      <c r="G21" s="14" t="s">
        <v>114</v>
      </c>
      <c r="H21" s="41">
        <v>258.39999999999998</v>
      </c>
      <c r="I21" s="41">
        <f>F21*H21</f>
        <v>0</v>
      </c>
      <c r="J21" s="13" t="s">
        <v>121</v>
      </c>
      <c r="K21" s="2"/>
      <c r="L21" s="2"/>
    </row>
    <row r="22" spans="1:12" ht="32.25" x14ac:dyDescent="0.3">
      <c r="A22" s="6"/>
      <c r="B22" s="5"/>
      <c r="C22" s="4"/>
      <c r="D22" s="15" t="s">
        <v>163</v>
      </c>
      <c r="E22" s="41"/>
      <c r="F22" s="41">
        <f>1.5</f>
        <v>1.5</v>
      </c>
      <c r="G22" s="14" t="s">
        <v>90</v>
      </c>
      <c r="H22" s="46">
        <f>(2935.2+3465.8)/F22</f>
        <v>4267.333333333333</v>
      </c>
      <c r="I22" s="67">
        <f>F22*H22</f>
        <v>6401</v>
      </c>
      <c r="J22" s="13" t="s">
        <v>121</v>
      </c>
      <c r="K22" s="2"/>
      <c r="L22" s="2"/>
    </row>
    <row r="23" spans="1:12" ht="18.75" x14ac:dyDescent="0.3">
      <c r="A23" s="6" t="s">
        <v>10</v>
      </c>
      <c r="B23" s="5"/>
      <c r="C23" s="4"/>
      <c r="D23" s="4" t="s">
        <v>33</v>
      </c>
      <c r="E23" s="41" t="s">
        <v>139</v>
      </c>
      <c r="F23" s="41" t="s">
        <v>139</v>
      </c>
      <c r="G23" s="14" t="s">
        <v>53</v>
      </c>
      <c r="H23" s="41" t="s">
        <v>139</v>
      </c>
      <c r="I23" s="41" t="s">
        <v>139</v>
      </c>
      <c r="J23" s="13"/>
      <c r="K23" s="2"/>
      <c r="L23" s="2"/>
    </row>
    <row r="24" spans="1:12" ht="18.75" x14ac:dyDescent="0.3">
      <c r="A24" s="6" t="s">
        <v>11</v>
      </c>
      <c r="B24" s="5"/>
      <c r="C24" s="4"/>
      <c r="D24" s="4" t="s">
        <v>40</v>
      </c>
      <c r="E24" s="41" t="s">
        <v>139</v>
      </c>
      <c r="F24" s="41" t="s">
        <v>139</v>
      </c>
      <c r="G24" s="14" t="s">
        <v>53</v>
      </c>
      <c r="H24" s="41" t="s">
        <v>139</v>
      </c>
      <c r="I24" s="41" t="s">
        <v>139</v>
      </c>
      <c r="J24" s="13"/>
      <c r="K24" s="2"/>
      <c r="L24" s="2"/>
    </row>
    <row r="25" spans="1:12" ht="18.75" x14ac:dyDescent="0.3">
      <c r="A25" s="6"/>
      <c r="B25" s="5"/>
      <c r="C25" s="4"/>
      <c r="D25" s="4" t="s">
        <v>196</v>
      </c>
      <c r="E25" s="41" t="s">
        <v>139</v>
      </c>
      <c r="F25" s="41" t="s">
        <v>139</v>
      </c>
      <c r="G25" s="14" t="s">
        <v>114</v>
      </c>
      <c r="H25" s="41" t="s">
        <v>139</v>
      </c>
      <c r="I25" s="41" t="s">
        <v>139</v>
      </c>
      <c r="J25" s="13"/>
      <c r="K25" s="2"/>
      <c r="L25" s="2"/>
    </row>
    <row r="26" spans="1:12" ht="18.75" x14ac:dyDescent="0.3">
      <c r="A26" s="6" t="s">
        <v>8</v>
      </c>
      <c r="B26" s="5"/>
      <c r="C26" s="4"/>
      <c r="D26" s="4" t="s">
        <v>32</v>
      </c>
      <c r="E26" s="41" t="s">
        <v>139</v>
      </c>
      <c r="F26" s="41" t="s">
        <v>139</v>
      </c>
      <c r="G26" s="13" t="s">
        <v>30</v>
      </c>
      <c r="H26" s="41" t="s">
        <v>139</v>
      </c>
      <c r="I26" s="41" t="s">
        <v>139</v>
      </c>
      <c r="J26" s="13"/>
      <c r="K26" s="2"/>
      <c r="L26" s="2"/>
    </row>
    <row r="27" spans="1:12" ht="48.75" customHeight="1" x14ac:dyDescent="0.3">
      <c r="A27" s="6" t="s">
        <v>12</v>
      </c>
      <c r="B27" s="5"/>
      <c r="C27" s="4"/>
      <c r="D27" s="15" t="s">
        <v>218</v>
      </c>
      <c r="E27" s="41"/>
      <c r="F27" s="41"/>
      <c r="G27" s="14" t="s">
        <v>114</v>
      </c>
      <c r="H27" s="41">
        <v>171.71</v>
      </c>
      <c r="I27" s="41">
        <f>F27*H27</f>
        <v>0</v>
      </c>
      <c r="J27" s="13" t="s">
        <v>121</v>
      </c>
      <c r="K27" s="2"/>
      <c r="L27" s="2"/>
    </row>
    <row r="28" spans="1:12" ht="49.5" customHeight="1" x14ac:dyDescent="0.3">
      <c r="A28" s="6"/>
      <c r="B28" s="5"/>
      <c r="C28" s="4"/>
      <c r="D28" s="15" t="s">
        <v>217</v>
      </c>
      <c r="E28" s="41"/>
      <c r="F28" s="41"/>
      <c r="G28" s="14" t="s">
        <v>114</v>
      </c>
      <c r="H28" s="41">
        <v>618.13</v>
      </c>
      <c r="I28" s="41">
        <f>F28*H28</f>
        <v>0</v>
      </c>
      <c r="J28" s="13" t="s">
        <v>121</v>
      </c>
      <c r="K28" s="2"/>
      <c r="L28" s="2"/>
    </row>
    <row r="29" spans="1:12" ht="69" customHeight="1" x14ac:dyDescent="0.3">
      <c r="A29" s="6"/>
      <c r="B29" s="5"/>
      <c r="C29" s="4"/>
      <c r="D29" s="40" t="s">
        <v>210</v>
      </c>
      <c r="E29" s="13"/>
      <c r="F29" s="13"/>
      <c r="G29" s="38" t="s">
        <v>207</v>
      </c>
      <c r="H29" s="13">
        <v>655.24</v>
      </c>
      <c r="I29" s="13">
        <f>F29*H29</f>
        <v>0</v>
      </c>
      <c r="J29" s="13" t="s">
        <v>121</v>
      </c>
      <c r="K29" s="2"/>
      <c r="L29" s="2"/>
    </row>
    <row r="30" spans="1:12" ht="18.75" x14ac:dyDescent="0.3">
      <c r="A30" s="6" t="s">
        <v>55</v>
      </c>
      <c r="B30" s="5"/>
      <c r="C30" s="4"/>
      <c r="D30" s="15" t="s">
        <v>188</v>
      </c>
      <c r="E30" s="41" t="s">
        <v>139</v>
      </c>
      <c r="F30" s="41" t="s">
        <v>139</v>
      </c>
      <c r="G30" s="14" t="s">
        <v>30</v>
      </c>
      <c r="H30" s="41" t="s">
        <v>139</v>
      </c>
      <c r="I30" s="41" t="s">
        <v>139</v>
      </c>
      <c r="J30" s="13"/>
      <c r="L30" s="2"/>
    </row>
    <row r="31" spans="1:12" ht="32.25" x14ac:dyDescent="0.3">
      <c r="A31" s="6"/>
      <c r="B31" s="5"/>
      <c r="C31" s="4"/>
      <c r="D31" s="15" t="s">
        <v>189</v>
      </c>
      <c r="E31" s="41" t="s">
        <v>139</v>
      </c>
      <c r="F31" s="41" t="s">
        <v>139</v>
      </c>
      <c r="G31" s="14" t="s">
        <v>30</v>
      </c>
      <c r="H31" s="41" t="s">
        <v>139</v>
      </c>
      <c r="I31" s="41" t="s">
        <v>139</v>
      </c>
      <c r="J31" s="13"/>
      <c r="L31" s="2"/>
    </row>
    <row r="32" spans="1:12" ht="32.25" x14ac:dyDescent="0.3">
      <c r="A32" s="6" t="s">
        <v>57</v>
      </c>
      <c r="B32" s="5"/>
      <c r="C32" s="4"/>
      <c r="D32" s="15" t="s">
        <v>95</v>
      </c>
      <c r="E32" s="41" t="s">
        <v>139</v>
      </c>
      <c r="F32" s="41" t="s">
        <v>139</v>
      </c>
      <c r="G32" s="14" t="s">
        <v>53</v>
      </c>
      <c r="H32" s="41" t="s">
        <v>139</v>
      </c>
      <c r="I32" s="41" t="s">
        <v>139</v>
      </c>
      <c r="J32" s="13"/>
      <c r="L32" s="2"/>
    </row>
    <row r="33" spans="1:12" ht="32.25" x14ac:dyDescent="0.3">
      <c r="A33" s="6" t="s">
        <v>14</v>
      </c>
      <c r="B33" s="5"/>
      <c r="C33" s="4"/>
      <c r="D33" s="15" t="s">
        <v>94</v>
      </c>
      <c r="E33" s="41" t="s">
        <v>139</v>
      </c>
      <c r="F33" s="41" t="s">
        <v>139</v>
      </c>
      <c r="G33" s="14" t="s">
        <v>54</v>
      </c>
      <c r="H33" s="41" t="s">
        <v>139</v>
      </c>
      <c r="I33" s="41" t="s">
        <v>139</v>
      </c>
      <c r="J33" s="13"/>
      <c r="L33" s="2"/>
    </row>
    <row r="34" spans="1:12" ht="18.75" x14ac:dyDescent="0.3">
      <c r="A34" s="6" t="s">
        <v>15</v>
      </c>
      <c r="B34" s="5"/>
      <c r="C34" s="4"/>
      <c r="D34" s="4" t="s">
        <v>42</v>
      </c>
      <c r="E34" s="41" t="s">
        <v>139</v>
      </c>
      <c r="F34" s="41" t="s">
        <v>139</v>
      </c>
      <c r="G34" s="14" t="s">
        <v>54</v>
      </c>
      <c r="H34" s="41" t="s">
        <v>139</v>
      </c>
      <c r="I34" s="41" t="s">
        <v>139</v>
      </c>
      <c r="J34" s="13"/>
      <c r="L34" s="2"/>
    </row>
    <row r="35" spans="1:12" ht="18.75" x14ac:dyDescent="0.3">
      <c r="A35" s="6" t="s">
        <v>16</v>
      </c>
      <c r="B35" s="5"/>
      <c r="C35" s="4"/>
      <c r="D35" s="4" t="s">
        <v>43</v>
      </c>
      <c r="E35" s="41" t="s">
        <v>139</v>
      </c>
      <c r="F35" s="41" t="s">
        <v>139</v>
      </c>
      <c r="G35" s="14" t="s">
        <v>53</v>
      </c>
      <c r="H35" s="41" t="s">
        <v>139</v>
      </c>
      <c r="I35" s="41" t="s">
        <v>139</v>
      </c>
      <c r="J35" s="13"/>
      <c r="L35" s="2"/>
    </row>
    <row r="36" spans="1:12" ht="18.75" x14ac:dyDescent="0.3">
      <c r="A36" s="6" t="s">
        <v>17</v>
      </c>
      <c r="B36" s="5"/>
      <c r="C36" s="4"/>
      <c r="D36" s="4" t="s">
        <v>44</v>
      </c>
      <c r="E36" s="41" t="s">
        <v>139</v>
      </c>
      <c r="F36" s="41" t="s">
        <v>139</v>
      </c>
      <c r="G36" s="13" t="s">
        <v>30</v>
      </c>
      <c r="H36" s="41" t="s">
        <v>139</v>
      </c>
      <c r="I36" s="41" t="s">
        <v>139</v>
      </c>
      <c r="J36" s="13"/>
      <c r="L36" s="2"/>
    </row>
    <row r="37" spans="1:12" ht="18.75" x14ac:dyDescent="0.3">
      <c r="A37" s="6" t="s">
        <v>18</v>
      </c>
      <c r="B37" s="5"/>
      <c r="C37" s="4"/>
      <c r="D37" s="4" t="s">
        <v>45</v>
      </c>
      <c r="E37" s="41" t="s">
        <v>139</v>
      </c>
      <c r="F37" s="41" t="s">
        <v>139</v>
      </c>
      <c r="G37" s="14" t="s">
        <v>54</v>
      </c>
      <c r="H37" s="41" t="s">
        <v>139</v>
      </c>
      <c r="I37" s="41" t="s">
        <v>139</v>
      </c>
      <c r="J37" s="13"/>
      <c r="L37" s="2"/>
    </row>
    <row r="38" spans="1:12" ht="18.75" x14ac:dyDescent="0.3">
      <c r="A38" s="28"/>
      <c r="B38" s="22"/>
      <c r="C38" s="22"/>
      <c r="D38" s="22"/>
      <c r="E38" s="45"/>
      <c r="F38" s="45"/>
      <c r="G38" s="12"/>
      <c r="H38" s="41"/>
      <c r="I38" s="46">
        <f>SUM(I19:I37)</f>
        <v>6401</v>
      </c>
      <c r="J38" s="13"/>
      <c r="L38" s="2"/>
    </row>
    <row r="39" spans="1:12" ht="24" customHeight="1" x14ac:dyDescent="0.3">
      <c r="A39" s="61" t="s">
        <v>86</v>
      </c>
      <c r="B39" s="62"/>
      <c r="C39" s="62"/>
      <c r="D39" s="62"/>
      <c r="E39" s="62"/>
      <c r="F39" s="62"/>
      <c r="G39" s="63"/>
      <c r="H39" s="14"/>
      <c r="I39" s="5"/>
      <c r="J39" s="13"/>
      <c r="L39" s="2"/>
    </row>
    <row r="40" spans="1:12" ht="32.25" customHeight="1" x14ac:dyDescent="0.3">
      <c r="A40" s="6" t="s">
        <v>49</v>
      </c>
      <c r="B40" s="5"/>
      <c r="C40" s="4"/>
      <c r="D40" s="15" t="s">
        <v>209</v>
      </c>
      <c r="E40" s="32"/>
      <c r="F40" s="13"/>
      <c r="G40" s="38" t="s">
        <v>114</v>
      </c>
      <c r="H40" s="13">
        <f>715.2</f>
        <v>715.2</v>
      </c>
      <c r="I40" s="13">
        <f>F40*H40</f>
        <v>0</v>
      </c>
      <c r="J40" s="13" t="s">
        <v>119</v>
      </c>
      <c r="L40" s="2"/>
    </row>
    <row r="41" spans="1:12" ht="32.25" customHeight="1" x14ac:dyDescent="0.3">
      <c r="A41" s="6"/>
      <c r="B41" s="5"/>
      <c r="C41" s="4"/>
      <c r="D41" s="15" t="s">
        <v>192</v>
      </c>
      <c r="E41" s="41"/>
      <c r="F41" s="41">
        <f>1+1</f>
        <v>2</v>
      </c>
      <c r="G41" s="13" t="s">
        <v>31</v>
      </c>
      <c r="H41" s="41">
        <f>(588+588.2)/F41</f>
        <v>588.1</v>
      </c>
      <c r="I41" s="41">
        <f>F41*H41</f>
        <v>1176.2</v>
      </c>
      <c r="J41" s="13" t="s">
        <v>247</v>
      </c>
      <c r="L41" s="2"/>
    </row>
    <row r="42" spans="1:12" ht="32.25" customHeight="1" x14ac:dyDescent="0.3">
      <c r="A42" s="6"/>
      <c r="B42" s="5"/>
      <c r="C42" s="4"/>
      <c r="D42" s="15" t="s">
        <v>235</v>
      </c>
      <c r="E42" s="41"/>
      <c r="F42" s="41">
        <f>4</f>
        <v>4</v>
      </c>
      <c r="G42" s="13" t="s">
        <v>31</v>
      </c>
      <c r="H42" s="41">
        <f>1461/F42</f>
        <v>365.25</v>
      </c>
      <c r="I42" s="67">
        <f>F42*H42</f>
        <v>1461</v>
      </c>
      <c r="J42" s="13" t="s">
        <v>119</v>
      </c>
      <c r="L42" s="2"/>
    </row>
    <row r="43" spans="1:12" ht="32.25" customHeight="1" x14ac:dyDescent="0.3">
      <c r="A43" s="6"/>
      <c r="B43" s="5"/>
      <c r="C43" s="4"/>
      <c r="D43" s="15" t="s">
        <v>197</v>
      </c>
      <c r="E43" s="41"/>
      <c r="F43" s="41"/>
      <c r="G43" s="13" t="s">
        <v>30</v>
      </c>
      <c r="H43" s="41" t="s">
        <v>139</v>
      </c>
      <c r="I43" s="41" t="s">
        <v>139</v>
      </c>
      <c r="J43" s="13"/>
      <c r="L43" s="2"/>
    </row>
    <row r="44" spans="1:12" ht="32.25" customHeight="1" x14ac:dyDescent="0.3">
      <c r="A44" s="6"/>
      <c r="B44" s="5"/>
      <c r="C44" s="4"/>
      <c r="D44" s="15" t="s">
        <v>236</v>
      </c>
      <c r="E44" s="41"/>
      <c r="F44" s="41">
        <f>0.6</f>
        <v>0.6</v>
      </c>
      <c r="G44" s="13" t="s">
        <v>114</v>
      </c>
      <c r="H44" s="46">
        <f>380/F44</f>
        <v>633.33333333333337</v>
      </c>
      <c r="I44" s="67">
        <f>F44*H44</f>
        <v>380</v>
      </c>
      <c r="J44" s="13" t="s">
        <v>119</v>
      </c>
      <c r="L44" s="2"/>
    </row>
    <row r="45" spans="1:12" ht="32.25" customHeight="1" x14ac:dyDescent="0.3">
      <c r="A45" s="6"/>
      <c r="B45" s="5"/>
      <c r="C45" s="4"/>
      <c r="D45" s="15" t="s">
        <v>202</v>
      </c>
      <c r="E45" s="41"/>
      <c r="F45" s="41"/>
      <c r="G45" s="13" t="s">
        <v>203</v>
      </c>
      <c r="H45" s="41"/>
      <c r="I45" s="41"/>
      <c r="J45" s="13"/>
      <c r="L45" s="2"/>
    </row>
    <row r="46" spans="1:12" ht="32.25" x14ac:dyDescent="0.3">
      <c r="A46" s="6" t="s">
        <v>50</v>
      </c>
      <c r="B46" s="5"/>
      <c r="C46" s="4"/>
      <c r="D46" s="15" t="s">
        <v>100</v>
      </c>
      <c r="E46" s="41" t="s">
        <v>139</v>
      </c>
      <c r="F46" s="41" t="s">
        <v>139</v>
      </c>
      <c r="G46" s="13" t="s">
        <v>54</v>
      </c>
      <c r="H46" s="41" t="s">
        <v>139</v>
      </c>
      <c r="I46" s="41" t="s">
        <v>139</v>
      </c>
      <c r="J46" s="13"/>
      <c r="L46" s="2"/>
    </row>
    <row r="47" spans="1:12" ht="32.25" x14ac:dyDescent="0.3">
      <c r="A47" s="6" t="s">
        <v>59</v>
      </c>
      <c r="B47" s="8"/>
      <c r="C47" s="4"/>
      <c r="D47" s="15" t="s">
        <v>46</v>
      </c>
      <c r="E47" s="41" t="s">
        <v>139</v>
      </c>
      <c r="F47" s="41" t="s">
        <v>139</v>
      </c>
      <c r="G47" s="14" t="s">
        <v>195</v>
      </c>
      <c r="H47" s="41" t="s">
        <v>139</v>
      </c>
      <c r="I47" s="41" t="s">
        <v>139</v>
      </c>
      <c r="J47" s="13"/>
      <c r="L47" s="2"/>
    </row>
    <row r="48" spans="1:12" ht="18.75" x14ac:dyDescent="0.3">
      <c r="A48" s="6" t="s">
        <v>61</v>
      </c>
      <c r="B48" s="5"/>
      <c r="C48" s="4"/>
      <c r="D48" s="15" t="s">
        <v>51</v>
      </c>
      <c r="E48" s="41" t="s">
        <v>139</v>
      </c>
      <c r="F48" s="41" t="s">
        <v>139</v>
      </c>
      <c r="G48" s="14" t="s">
        <v>53</v>
      </c>
      <c r="H48" s="41" t="s">
        <v>139</v>
      </c>
      <c r="I48" s="41" t="s">
        <v>139</v>
      </c>
      <c r="J48" s="13"/>
      <c r="L48" s="2"/>
    </row>
    <row r="49" spans="1:12" ht="32.25" x14ac:dyDescent="0.3">
      <c r="A49" s="6"/>
      <c r="B49" s="5"/>
      <c r="C49" s="4"/>
      <c r="D49" s="15" t="s">
        <v>193</v>
      </c>
      <c r="E49" s="41" t="s">
        <v>139</v>
      </c>
      <c r="F49" s="41" t="s">
        <v>139</v>
      </c>
      <c r="G49" s="14" t="s">
        <v>114</v>
      </c>
      <c r="H49" s="41" t="s">
        <v>139</v>
      </c>
      <c r="I49" s="41" t="s">
        <v>139</v>
      </c>
      <c r="J49" s="13"/>
      <c r="L49" s="2"/>
    </row>
    <row r="50" spans="1:12" ht="32.25" x14ac:dyDescent="0.3">
      <c r="A50" s="6"/>
      <c r="B50" s="5"/>
      <c r="C50" s="4"/>
      <c r="D50" s="15" t="s">
        <v>194</v>
      </c>
      <c r="E50" s="41" t="s">
        <v>139</v>
      </c>
      <c r="F50" s="41" t="s">
        <v>139</v>
      </c>
      <c r="G50" s="14" t="s">
        <v>114</v>
      </c>
      <c r="H50" s="41" t="s">
        <v>139</v>
      </c>
      <c r="I50" s="41" t="s">
        <v>139</v>
      </c>
      <c r="J50" s="13"/>
      <c r="L50" s="2"/>
    </row>
    <row r="51" spans="1:12" ht="32.25" x14ac:dyDescent="0.3">
      <c r="A51" s="6" t="s">
        <v>62</v>
      </c>
      <c r="B51" s="5"/>
      <c r="C51" s="4"/>
      <c r="D51" s="15" t="s">
        <v>64</v>
      </c>
      <c r="E51" s="41" t="s">
        <v>139</v>
      </c>
      <c r="F51" s="41" t="s">
        <v>139</v>
      </c>
      <c r="G51" s="13" t="s">
        <v>30</v>
      </c>
      <c r="H51" s="41" t="s">
        <v>139</v>
      </c>
      <c r="I51" s="41" t="s">
        <v>139</v>
      </c>
      <c r="J51" s="13"/>
      <c r="L51" s="2"/>
    </row>
    <row r="52" spans="1:12" ht="18.75" x14ac:dyDescent="0.3">
      <c r="A52" s="6"/>
      <c r="B52" s="5"/>
      <c r="C52" s="4"/>
      <c r="D52" s="15" t="s">
        <v>156</v>
      </c>
      <c r="E52" s="41" t="s">
        <v>139</v>
      </c>
      <c r="F52" s="41" t="s">
        <v>139</v>
      </c>
      <c r="G52" s="13" t="s">
        <v>31</v>
      </c>
      <c r="H52" s="41" t="s">
        <v>139</v>
      </c>
      <c r="I52" s="41" t="s">
        <v>139</v>
      </c>
      <c r="J52" s="13"/>
      <c r="L52" s="2"/>
    </row>
    <row r="53" spans="1:12" ht="18.75" x14ac:dyDescent="0.3">
      <c r="A53" s="6" t="s">
        <v>58</v>
      </c>
      <c r="B53" s="8"/>
      <c r="C53" s="4"/>
      <c r="D53" s="4" t="s">
        <v>47</v>
      </c>
      <c r="E53" s="41" t="s">
        <v>139</v>
      </c>
      <c r="F53" s="41" t="s">
        <v>139</v>
      </c>
      <c r="G53" s="14" t="s">
        <v>53</v>
      </c>
      <c r="H53" s="41" t="s">
        <v>139</v>
      </c>
      <c r="I53" s="41" t="s">
        <v>139</v>
      </c>
      <c r="J53" s="13"/>
      <c r="L53" s="2"/>
    </row>
    <row r="54" spans="1:12" ht="24" customHeight="1" x14ac:dyDescent="0.3">
      <c r="A54" s="6" t="s">
        <v>60</v>
      </c>
      <c r="B54" s="8"/>
      <c r="C54" s="4"/>
      <c r="D54" s="4" t="s">
        <v>48</v>
      </c>
      <c r="E54" s="41" t="s">
        <v>139</v>
      </c>
      <c r="F54" s="41" t="s">
        <v>139</v>
      </c>
      <c r="G54" s="14" t="s">
        <v>53</v>
      </c>
      <c r="H54" s="41" t="s">
        <v>139</v>
      </c>
      <c r="I54" s="41" t="s">
        <v>139</v>
      </c>
      <c r="J54" s="13"/>
      <c r="L54" s="2"/>
    </row>
    <row r="55" spans="1:12" ht="18.75" x14ac:dyDescent="0.3">
      <c r="A55" s="6" t="s">
        <v>65</v>
      </c>
      <c r="B55" s="5"/>
      <c r="C55" s="4"/>
      <c r="D55" s="4" t="s">
        <v>93</v>
      </c>
      <c r="E55" s="41" t="s">
        <v>139</v>
      </c>
      <c r="F55" s="41" t="s">
        <v>139</v>
      </c>
      <c r="G55" s="14" t="s">
        <v>54</v>
      </c>
      <c r="H55" s="41" t="s">
        <v>139</v>
      </c>
      <c r="I55" s="41" t="s">
        <v>139</v>
      </c>
      <c r="J55" s="13"/>
      <c r="L55" s="2"/>
    </row>
    <row r="56" spans="1:12" ht="18.75" x14ac:dyDescent="0.3">
      <c r="A56" s="28"/>
      <c r="B56" s="22"/>
      <c r="C56" s="22"/>
      <c r="D56" s="22"/>
      <c r="E56" s="45"/>
      <c r="F56" s="45"/>
      <c r="G56" s="12"/>
      <c r="H56" s="41"/>
      <c r="I56" s="41">
        <f>SUM(I40:I55)</f>
        <v>3017.2</v>
      </c>
      <c r="J56" s="13"/>
      <c r="L56" s="2"/>
    </row>
    <row r="57" spans="1:12" ht="18.75" x14ac:dyDescent="0.3">
      <c r="A57" s="61" t="s">
        <v>67</v>
      </c>
      <c r="B57" s="62"/>
      <c r="C57" s="62"/>
      <c r="D57" s="62"/>
      <c r="E57" s="62"/>
      <c r="F57" s="62"/>
      <c r="G57" s="63"/>
      <c r="H57" s="18"/>
      <c r="I57" s="5"/>
      <c r="J57" s="13"/>
      <c r="L57" s="2"/>
    </row>
    <row r="58" spans="1:12" ht="37.5" x14ac:dyDescent="0.25">
      <c r="A58" s="9" t="s">
        <v>29</v>
      </c>
      <c r="B58" s="8"/>
      <c r="C58" s="4"/>
      <c r="D58" s="15" t="s">
        <v>141</v>
      </c>
      <c r="E58" s="41" t="s">
        <v>139</v>
      </c>
      <c r="F58" s="41" t="s">
        <v>139</v>
      </c>
      <c r="G58" s="13" t="s">
        <v>54</v>
      </c>
      <c r="H58" s="41" t="s">
        <v>139</v>
      </c>
      <c r="I58" s="41" t="s">
        <v>139</v>
      </c>
      <c r="J58" s="13"/>
      <c r="L58" s="2"/>
    </row>
    <row r="59" spans="1:12" ht="46.5" customHeight="1" x14ac:dyDescent="0.25">
      <c r="A59" s="9" t="s">
        <v>92</v>
      </c>
      <c r="B59" s="8"/>
      <c r="C59" s="4"/>
      <c r="D59" s="42" t="s">
        <v>124</v>
      </c>
      <c r="E59" s="32"/>
      <c r="F59" s="13">
        <f>2138.7</f>
        <v>2138.6999999999998</v>
      </c>
      <c r="G59" s="13" t="s">
        <v>114</v>
      </c>
      <c r="H59" s="33">
        <f>(9007.4+9007.4+9007.4+9210.6+9210.6+9210.6+9455.6+9455.6+9455.6+9751.6+9751.6+9751.6)/F59</f>
        <v>52.497124421377485</v>
      </c>
      <c r="I59" s="33">
        <f>F59*H59</f>
        <v>112275.60000000002</v>
      </c>
      <c r="J59" s="13" t="s">
        <v>117</v>
      </c>
      <c r="L59" s="2"/>
    </row>
    <row r="60" spans="1:12" ht="46.5" customHeight="1" x14ac:dyDescent="0.25">
      <c r="A60" s="9"/>
      <c r="B60" s="8"/>
      <c r="C60" s="4"/>
      <c r="D60" s="15" t="s">
        <v>112</v>
      </c>
      <c r="E60" s="32"/>
      <c r="F60" s="13">
        <f>3131</f>
        <v>3131</v>
      </c>
      <c r="G60" s="13" t="s">
        <v>30</v>
      </c>
      <c r="H60" s="33">
        <f>261548.4/F60</f>
        <v>83.535100606834874</v>
      </c>
      <c r="I60" s="33">
        <f t="shared" ref="I60:I61" si="0">F60*H60</f>
        <v>261548.4</v>
      </c>
      <c r="J60" s="13" t="s">
        <v>117</v>
      </c>
      <c r="L60" s="2"/>
    </row>
    <row r="61" spans="1:12" ht="46.5" customHeight="1" x14ac:dyDescent="0.25">
      <c r="A61" s="9"/>
      <c r="B61" s="8"/>
      <c r="C61" s="4"/>
      <c r="D61" s="15" t="s">
        <v>113</v>
      </c>
      <c r="E61" s="41"/>
      <c r="F61" s="41">
        <f>275</f>
        <v>275</v>
      </c>
      <c r="G61" s="13" t="s">
        <v>30</v>
      </c>
      <c r="H61" s="46">
        <f>23234.6/F61</f>
        <v>84.489454545454535</v>
      </c>
      <c r="I61" s="41">
        <f t="shared" si="0"/>
        <v>23234.6</v>
      </c>
      <c r="J61" s="13" t="s">
        <v>119</v>
      </c>
      <c r="L61" s="2"/>
    </row>
    <row r="62" spans="1:12" ht="46.5" customHeight="1" x14ac:dyDescent="0.25">
      <c r="A62" s="9"/>
      <c r="B62" s="8"/>
      <c r="C62" s="4"/>
      <c r="D62" s="15" t="s">
        <v>154</v>
      </c>
      <c r="E62" s="41"/>
      <c r="F62" s="41">
        <f>1+1</f>
        <v>2</v>
      </c>
      <c r="G62" s="13" t="s">
        <v>31</v>
      </c>
      <c r="H62" s="41">
        <f>(1292.8+1400.2)/F62</f>
        <v>1346.5</v>
      </c>
      <c r="I62" s="41">
        <f t="shared" ref="I62:I69" si="1">F62*H62</f>
        <v>2693</v>
      </c>
      <c r="J62" s="13" t="s">
        <v>117</v>
      </c>
      <c r="L62" s="2"/>
    </row>
    <row r="63" spans="1:12" ht="46.5" customHeight="1" x14ac:dyDescent="0.25">
      <c r="A63" s="9"/>
      <c r="B63" s="8"/>
      <c r="C63" s="4"/>
      <c r="D63" s="15" t="s">
        <v>179</v>
      </c>
      <c r="E63" s="41"/>
      <c r="F63" s="41">
        <f>3</f>
        <v>3</v>
      </c>
      <c r="G63" s="13" t="s">
        <v>31</v>
      </c>
      <c r="H63" s="46">
        <f>2617/F63</f>
        <v>872.33333333333337</v>
      </c>
      <c r="I63" s="41">
        <f t="shared" si="1"/>
        <v>2617</v>
      </c>
      <c r="J63" s="13" t="s">
        <v>119</v>
      </c>
      <c r="L63" s="2"/>
    </row>
    <row r="64" spans="1:12" ht="46.5" customHeight="1" x14ac:dyDescent="0.25">
      <c r="A64" s="9"/>
      <c r="B64" s="8"/>
      <c r="C64" s="4"/>
      <c r="D64" s="15" t="s">
        <v>200</v>
      </c>
      <c r="E64" s="41"/>
      <c r="F64" s="41">
        <v>3</v>
      </c>
      <c r="G64" s="13" t="s">
        <v>31</v>
      </c>
      <c r="H64" s="41">
        <f>21066/F64</f>
        <v>7022</v>
      </c>
      <c r="I64" s="41">
        <f t="shared" si="1"/>
        <v>21066</v>
      </c>
      <c r="J64" s="13" t="s">
        <v>119</v>
      </c>
      <c r="L64" s="2"/>
    </row>
    <row r="65" spans="1:12" ht="46.5" customHeight="1" x14ac:dyDescent="0.25">
      <c r="A65" s="9"/>
      <c r="B65" s="8"/>
      <c r="C65" s="4"/>
      <c r="D65" s="15" t="s">
        <v>153</v>
      </c>
      <c r="E65" s="41" t="s">
        <v>139</v>
      </c>
      <c r="F65" s="41" t="s">
        <v>139</v>
      </c>
      <c r="G65" s="13" t="s">
        <v>31</v>
      </c>
      <c r="H65" s="41" t="s">
        <v>139</v>
      </c>
      <c r="I65" s="41" t="s">
        <v>139</v>
      </c>
      <c r="J65" s="13"/>
      <c r="L65" s="2"/>
    </row>
    <row r="66" spans="1:12" ht="46.5" customHeight="1" x14ac:dyDescent="0.25">
      <c r="A66" s="9"/>
      <c r="B66" s="8"/>
      <c r="C66" s="4"/>
      <c r="D66" s="15" t="s">
        <v>180</v>
      </c>
      <c r="E66" s="41" t="s">
        <v>139</v>
      </c>
      <c r="F66" s="41" t="s">
        <v>139</v>
      </c>
      <c r="G66" s="13" t="s">
        <v>31</v>
      </c>
      <c r="H66" s="41" t="s">
        <v>139</v>
      </c>
      <c r="I66" s="41" t="s">
        <v>139</v>
      </c>
      <c r="J66" s="13"/>
      <c r="L66" s="2"/>
    </row>
    <row r="67" spans="1:12" ht="46.5" customHeight="1" x14ac:dyDescent="0.25">
      <c r="A67" s="9"/>
      <c r="B67" s="8"/>
      <c r="C67" s="4"/>
      <c r="D67" s="15" t="s">
        <v>181</v>
      </c>
      <c r="E67" s="41" t="s">
        <v>139</v>
      </c>
      <c r="F67" s="41" t="s">
        <v>139</v>
      </c>
      <c r="G67" s="13" t="s">
        <v>31</v>
      </c>
      <c r="H67" s="41" t="s">
        <v>139</v>
      </c>
      <c r="I67" s="41" t="s">
        <v>139</v>
      </c>
      <c r="J67" s="13"/>
      <c r="L67" s="2"/>
    </row>
    <row r="68" spans="1:12" ht="46.5" customHeight="1" x14ac:dyDescent="0.25">
      <c r="A68" s="9"/>
      <c r="B68" s="8"/>
      <c r="C68" s="4"/>
      <c r="D68" s="15" t="s">
        <v>155</v>
      </c>
      <c r="E68" s="41"/>
      <c r="F68" s="41">
        <f>6</f>
        <v>6</v>
      </c>
      <c r="G68" s="13" t="s">
        <v>31</v>
      </c>
      <c r="H68" s="41">
        <f>13348.4/F68</f>
        <v>2224.7333333333331</v>
      </c>
      <c r="I68" s="41">
        <f t="shared" si="1"/>
        <v>13348.399999999998</v>
      </c>
      <c r="J68" s="13" t="s">
        <v>119</v>
      </c>
      <c r="L68" s="2"/>
    </row>
    <row r="69" spans="1:12" ht="46.5" customHeight="1" x14ac:dyDescent="0.25">
      <c r="A69" s="9"/>
      <c r="B69" s="8"/>
      <c r="C69" s="4"/>
      <c r="D69" s="15" t="s">
        <v>185</v>
      </c>
      <c r="E69" s="41"/>
      <c r="F69" s="41"/>
      <c r="G69" s="13" t="s">
        <v>30</v>
      </c>
      <c r="H69" s="41">
        <v>882.67</v>
      </c>
      <c r="I69" s="41">
        <f t="shared" si="1"/>
        <v>0</v>
      </c>
      <c r="J69" s="13" t="s">
        <v>119</v>
      </c>
      <c r="L69" s="2"/>
    </row>
    <row r="70" spans="1:12" ht="46.5" customHeight="1" x14ac:dyDescent="0.25">
      <c r="A70" s="9"/>
      <c r="B70" s="8"/>
      <c r="C70" s="4"/>
      <c r="D70" s="15" t="s">
        <v>170</v>
      </c>
      <c r="E70" s="41" t="s">
        <v>139</v>
      </c>
      <c r="F70" s="41">
        <v>4.5</v>
      </c>
      <c r="G70" s="13" t="s">
        <v>30</v>
      </c>
      <c r="H70" s="46">
        <f>1553.8/F70</f>
        <v>345.28888888888889</v>
      </c>
      <c r="I70" s="67">
        <f>F70*H70</f>
        <v>1553.8</v>
      </c>
      <c r="J70" s="13"/>
      <c r="L70" s="2"/>
    </row>
    <row r="71" spans="1:12" ht="90" customHeight="1" x14ac:dyDescent="0.25">
      <c r="A71" s="9"/>
      <c r="B71" s="8"/>
      <c r="C71" s="4"/>
      <c r="D71" s="15" t="s">
        <v>231</v>
      </c>
      <c r="E71" s="41" t="s">
        <v>139</v>
      </c>
      <c r="F71" s="41">
        <v>5</v>
      </c>
      <c r="G71" s="13" t="s">
        <v>169</v>
      </c>
      <c r="H71" s="46">
        <f>116.4/F71</f>
        <v>23.28</v>
      </c>
      <c r="I71" s="67">
        <f>F71*H71</f>
        <v>116.4</v>
      </c>
      <c r="J71" s="13"/>
      <c r="L71" s="2"/>
    </row>
    <row r="72" spans="1:12" ht="72" customHeight="1" x14ac:dyDescent="0.25">
      <c r="A72" s="9"/>
      <c r="B72" s="8"/>
      <c r="C72" s="4"/>
      <c r="D72" s="15" t="s">
        <v>174</v>
      </c>
      <c r="E72" s="41" t="s">
        <v>139</v>
      </c>
      <c r="F72" s="41">
        <v>4.5</v>
      </c>
      <c r="G72" s="13" t="s">
        <v>30</v>
      </c>
      <c r="H72" s="46">
        <f>2245.2/F72</f>
        <v>498.93333333333328</v>
      </c>
      <c r="I72" s="67">
        <f>F72*H72</f>
        <v>2245.1999999999998</v>
      </c>
      <c r="J72" s="13"/>
      <c r="L72" s="2"/>
    </row>
    <row r="73" spans="1:12" ht="46.5" customHeight="1" x14ac:dyDescent="0.25">
      <c r="A73" s="9"/>
      <c r="B73" s="8"/>
      <c r="C73" s="4"/>
      <c r="D73" s="15" t="s">
        <v>186</v>
      </c>
      <c r="E73" s="41" t="s">
        <v>139</v>
      </c>
      <c r="F73" s="41" t="s">
        <v>139</v>
      </c>
      <c r="G73" s="13" t="s">
        <v>30</v>
      </c>
      <c r="H73" s="41" t="s">
        <v>139</v>
      </c>
      <c r="I73" s="41" t="s">
        <v>139</v>
      </c>
      <c r="J73" s="13"/>
      <c r="L73" s="2"/>
    </row>
    <row r="74" spans="1:12" ht="46.5" customHeight="1" x14ac:dyDescent="0.25">
      <c r="A74" s="9"/>
      <c r="B74" s="8"/>
      <c r="C74" s="4"/>
      <c r="D74" s="15" t="s">
        <v>167</v>
      </c>
      <c r="E74" s="31"/>
      <c r="F74" s="31">
        <f>1</f>
        <v>1</v>
      </c>
      <c r="G74" s="13" t="s">
        <v>150</v>
      </c>
      <c r="H74" s="31">
        <f>6432.8/F74</f>
        <v>6432.8</v>
      </c>
      <c r="I74" s="68">
        <f t="shared" ref="I74" si="2">F74*H74</f>
        <v>6432.8</v>
      </c>
      <c r="J74" s="13" t="s">
        <v>119</v>
      </c>
      <c r="L74" s="2"/>
    </row>
    <row r="75" spans="1:12" ht="46.5" customHeight="1" x14ac:dyDescent="0.25">
      <c r="A75" s="9"/>
      <c r="B75" s="8"/>
      <c r="C75" s="4"/>
      <c r="D75" s="15" t="s">
        <v>166</v>
      </c>
      <c r="E75" s="41"/>
      <c r="F75" s="41">
        <f>2</f>
        <v>2</v>
      </c>
      <c r="G75" s="13" t="s">
        <v>150</v>
      </c>
      <c r="H75" s="41">
        <f>12644.2/F75</f>
        <v>6322.1</v>
      </c>
      <c r="I75" s="67">
        <f>F75*H75</f>
        <v>12644.2</v>
      </c>
      <c r="J75" s="13" t="s">
        <v>145</v>
      </c>
      <c r="L75" s="2"/>
    </row>
    <row r="76" spans="1:12" ht="46.5" customHeight="1" x14ac:dyDescent="0.25">
      <c r="A76" s="9"/>
      <c r="B76" s="8"/>
      <c r="C76" s="4"/>
      <c r="D76" s="15" t="s">
        <v>184</v>
      </c>
      <c r="E76" s="41"/>
      <c r="F76" s="41">
        <f>1+1</f>
        <v>2</v>
      </c>
      <c r="G76" s="13" t="s">
        <v>148</v>
      </c>
      <c r="H76" s="41">
        <f>(500.8+524)/F76</f>
        <v>512.4</v>
      </c>
      <c r="I76" s="67">
        <f>F76*H76</f>
        <v>1024.8</v>
      </c>
      <c r="J76" s="13" t="s">
        <v>117</v>
      </c>
      <c r="L76" s="2"/>
    </row>
    <row r="77" spans="1:12" ht="46.5" customHeight="1" x14ac:dyDescent="0.25">
      <c r="A77" s="9"/>
      <c r="B77" s="8"/>
      <c r="C77" s="4"/>
      <c r="D77" s="15" t="s">
        <v>237</v>
      </c>
      <c r="E77" s="41"/>
      <c r="F77" s="41">
        <f>4</f>
        <v>4</v>
      </c>
      <c r="G77" s="13" t="s">
        <v>169</v>
      </c>
      <c r="H77" s="41">
        <f>10362.6/F77</f>
        <v>2590.65</v>
      </c>
      <c r="I77" s="67">
        <f>F77*H77</f>
        <v>10362.6</v>
      </c>
      <c r="J77" s="13"/>
      <c r="L77" s="2"/>
    </row>
    <row r="78" spans="1:12" ht="31.5" x14ac:dyDescent="0.25">
      <c r="A78" s="9" t="s">
        <v>83</v>
      </c>
      <c r="B78" s="8"/>
      <c r="C78" s="4"/>
      <c r="D78" s="15" t="s">
        <v>158</v>
      </c>
      <c r="E78" s="41" t="s">
        <v>139</v>
      </c>
      <c r="F78" s="41" t="s">
        <v>139</v>
      </c>
      <c r="G78" s="13" t="s">
        <v>54</v>
      </c>
      <c r="H78" s="41" t="s">
        <v>139</v>
      </c>
      <c r="I78" s="41" t="s">
        <v>139</v>
      </c>
      <c r="J78" s="13"/>
      <c r="L78" s="2"/>
    </row>
    <row r="79" spans="1:12" ht="31.5" x14ac:dyDescent="0.25">
      <c r="A79" s="9"/>
      <c r="B79" s="8"/>
      <c r="C79" s="4"/>
      <c r="D79" s="15" t="s">
        <v>159</v>
      </c>
      <c r="E79" s="41" t="s">
        <v>139</v>
      </c>
      <c r="F79" s="41" t="s">
        <v>139</v>
      </c>
      <c r="G79" s="13" t="s">
        <v>54</v>
      </c>
      <c r="H79" s="41" t="s">
        <v>139</v>
      </c>
      <c r="I79" s="41" t="s">
        <v>139</v>
      </c>
      <c r="J79" s="13"/>
      <c r="L79" s="2"/>
    </row>
    <row r="80" spans="1:12" ht="18.75" x14ac:dyDescent="0.25">
      <c r="A80" s="9"/>
      <c r="B80" s="8"/>
      <c r="C80" s="4"/>
      <c r="D80" s="15" t="s">
        <v>227</v>
      </c>
      <c r="E80" s="41"/>
      <c r="F80" s="41">
        <f>2+4+4</f>
        <v>10</v>
      </c>
      <c r="G80" s="13" t="s">
        <v>31</v>
      </c>
      <c r="H80" s="46">
        <f>(2349+4569.2+5031)/F80</f>
        <v>1194.92</v>
      </c>
      <c r="I80" s="67">
        <f>F80*H80</f>
        <v>11949.2</v>
      </c>
      <c r="J80" s="13" t="s">
        <v>117</v>
      </c>
      <c r="L80" s="2"/>
    </row>
    <row r="81" spans="1:12" ht="18.75" x14ac:dyDescent="0.25">
      <c r="A81" s="9"/>
      <c r="B81" s="8"/>
      <c r="C81" s="4"/>
      <c r="D81" s="15" t="s">
        <v>132</v>
      </c>
      <c r="E81" s="41"/>
      <c r="F81" s="41">
        <f>18+10</f>
        <v>28</v>
      </c>
      <c r="G81" s="13" t="s">
        <v>31</v>
      </c>
      <c r="H81" s="46">
        <f>(21130.6+11740.8)/F81</f>
        <v>1173.9785714285713</v>
      </c>
      <c r="I81" s="67">
        <f>F81*H81</f>
        <v>32871.399999999994</v>
      </c>
      <c r="J81" s="13" t="s">
        <v>119</v>
      </c>
      <c r="L81" s="2"/>
    </row>
    <row r="82" spans="1:12" ht="18.75" x14ac:dyDescent="0.25">
      <c r="A82" s="9"/>
      <c r="B82" s="8"/>
      <c r="C82" s="4"/>
      <c r="D82" s="15" t="s">
        <v>204</v>
      </c>
      <c r="E82" s="41"/>
      <c r="F82" s="41">
        <f>4</f>
        <v>4</v>
      </c>
      <c r="G82" s="13" t="s">
        <v>31</v>
      </c>
      <c r="H82" s="41">
        <f>7745.4/F82</f>
        <v>1936.35</v>
      </c>
      <c r="I82" s="67">
        <f>F82*H82</f>
        <v>7745.4</v>
      </c>
      <c r="J82" s="13" t="s">
        <v>119</v>
      </c>
      <c r="L82" s="2"/>
    </row>
    <row r="83" spans="1:12" ht="18.75" x14ac:dyDescent="0.25">
      <c r="A83" s="9"/>
      <c r="B83" s="8"/>
      <c r="C83" s="4"/>
      <c r="D83" s="15" t="s">
        <v>147</v>
      </c>
      <c r="E83" s="41"/>
      <c r="F83" s="41"/>
      <c r="G83" s="13" t="s">
        <v>31</v>
      </c>
      <c r="H83" s="41" t="s">
        <v>139</v>
      </c>
      <c r="I83" s="41" t="s">
        <v>139</v>
      </c>
      <c r="J83" s="13"/>
      <c r="L83" s="2"/>
    </row>
    <row r="84" spans="1:12" ht="31.5" x14ac:dyDescent="0.25">
      <c r="A84" s="9"/>
      <c r="B84" s="8"/>
      <c r="C84" s="4"/>
      <c r="D84" s="15" t="s">
        <v>201</v>
      </c>
      <c r="E84" s="41"/>
      <c r="F84" s="41"/>
      <c r="G84" s="13" t="s">
        <v>31</v>
      </c>
      <c r="H84" s="41">
        <v>2454.16</v>
      </c>
      <c r="I84" s="41">
        <f t="shared" ref="I84:I89" si="3">F84*H84</f>
        <v>0</v>
      </c>
      <c r="J84" s="13" t="s">
        <v>119</v>
      </c>
      <c r="L84" s="2"/>
    </row>
    <row r="85" spans="1:12" ht="18.75" x14ac:dyDescent="0.25">
      <c r="A85" s="9"/>
      <c r="B85" s="8"/>
      <c r="C85" s="4"/>
      <c r="D85" s="15" t="s">
        <v>238</v>
      </c>
      <c r="E85" s="41"/>
      <c r="F85" s="41">
        <f>2</f>
        <v>2</v>
      </c>
      <c r="G85" s="13" t="s">
        <v>31</v>
      </c>
      <c r="H85" s="41">
        <f>8160.6/F85</f>
        <v>4080.3</v>
      </c>
      <c r="I85" s="67">
        <f t="shared" si="3"/>
        <v>8160.6</v>
      </c>
      <c r="J85" s="13"/>
      <c r="L85" s="2"/>
    </row>
    <row r="86" spans="1:12" ht="31.5" x14ac:dyDescent="0.25">
      <c r="A86" s="9"/>
      <c r="B86" s="8"/>
      <c r="C86" s="4"/>
      <c r="D86" s="15" t="s">
        <v>239</v>
      </c>
      <c r="E86" s="41"/>
      <c r="F86" s="41">
        <f>2</f>
        <v>2</v>
      </c>
      <c r="G86" s="13" t="s">
        <v>31</v>
      </c>
      <c r="H86" s="41">
        <f>95970.4/F86</f>
        <v>47985.2</v>
      </c>
      <c r="I86" s="67">
        <f t="shared" si="3"/>
        <v>95970.4</v>
      </c>
      <c r="J86" s="13"/>
      <c r="L86" s="2"/>
    </row>
    <row r="87" spans="1:12" ht="18.75" x14ac:dyDescent="0.25">
      <c r="A87" s="9"/>
      <c r="B87" s="8"/>
      <c r="C87" s="4"/>
      <c r="D87" s="15" t="s">
        <v>241</v>
      </c>
      <c r="E87" s="41"/>
      <c r="F87" s="41">
        <f>1</f>
        <v>1</v>
      </c>
      <c r="G87" s="13" t="s">
        <v>31</v>
      </c>
      <c r="H87" s="41">
        <f>226.4/F87</f>
        <v>226.4</v>
      </c>
      <c r="I87" s="67">
        <f t="shared" si="3"/>
        <v>226.4</v>
      </c>
      <c r="J87" s="13"/>
      <c r="L87" s="2"/>
    </row>
    <row r="88" spans="1:12" ht="18.75" x14ac:dyDescent="0.25">
      <c r="A88" s="9"/>
      <c r="B88" s="8"/>
      <c r="C88" s="4"/>
      <c r="D88" s="15" t="s">
        <v>240</v>
      </c>
      <c r="E88" s="41"/>
      <c r="F88" s="41">
        <f>1</f>
        <v>1</v>
      </c>
      <c r="G88" s="13" t="s">
        <v>31</v>
      </c>
      <c r="H88" s="41">
        <f>24576.8/F88</f>
        <v>24576.799999999999</v>
      </c>
      <c r="I88" s="67">
        <f t="shared" si="3"/>
        <v>24576.799999999999</v>
      </c>
      <c r="J88" s="13"/>
      <c r="L88" s="2"/>
    </row>
    <row r="89" spans="1:12" ht="18.75" x14ac:dyDescent="0.25">
      <c r="A89" s="9"/>
      <c r="B89" s="8"/>
      <c r="C89" s="4"/>
      <c r="D89" s="15" t="s">
        <v>242</v>
      </c>
      <c r="E89" s="41"/>
      <c r="F89" s="41">
        <v>12</v>
      </c>
      <c r="G89" s="13" t="s">
        <v>243</v>
      </c>
      <c r="H89" s="46">
        <f>1553.8/F89</f>
        <v>129.48333333333332</v>
      </c>
      <c r="I89" s="67">
        <f t="shared" si="3"/>
        <v>1553.7999999999997</v>
      </c>
      <c r="J89" s="13"/>
      <c r="L89" s="2"/>
    </row>
    <row r="90" spans="1:12" ht="31.5" x14ac:dyDescent="0.25">
      <c r="A90" s="9"/>
      <c r="B90" s="8"/>
      <c r="C90" s="4"/>
      <c r="D90" s="15" t="s">
        <v>168</v>
      </c>
      <c r="E90" s="41"/>
      <c r="F90" s="41"/>
      <c r="G90" s="13" t="s">
        <v>31</v>
      </c>
      <c r="H90" s="41" t="s">
        <v>139</v>
      </c>
      <c r="I90" s="41" t="s">
        <v>139</v>
      </c>
      <c r="J90" s="13"/>
      <c r="L90" s="2"/>
    </row>
    <row r="91" spans="1:12" ht="18.75" x14ac:dyDescent="0.25">
      <c r="A91" s="9"/>
      <c r="B91" s="8"/>
      <c r="C91" s="4"/>
      <c r="D91" s="15" t="s">
        <v>228</v>
      </c>
      <c r="E91" s="41"/>
      <c r="F91" s="41">
        <f>6+2</f>
        <v>8</v>
      </c>
      <c r="G91" s="13" t="s">
        <v>31</v>
      </c>
      <c r="H91" s="41">
        <f>(129455.4+43151.4)/F91</f>
        <v>21575.85</v>
      </c>
      <c r="I91" s="67">
        <f>F91*H91</f>
        <v>172606.8</v>
      </c>
      <c r="J91" s="13" t="s">
        <v>119</v>
      </c>
      <c r="L91" s="2"/>
    </row>
    <row r="92" spans="1:12" ht="18.75" x14ac:dyDescent="0.25">
      <c r="A92" s="9"/>
      <c r="B92" s="8"/>
      <c r="C92" s="4"/>
      <c r="D92" s="15" t="s">
        <v>160</v>
      </c>
      <c r="E92" s="41"/>
      <c r="F92" s="41"/>
      <c r="G92" s="13" t="s">
        <v>161</v>
      </c>
      <c r="H92" s="41">
        <v>2511.6</v>
      </c>
      <c r="I92" s="41">
        <f>F92*H92</f>
        <v>0</v>
      </c>
      <c r="J92" s="13" t="s">
        <v>119</v>
      </c>
      <c r="L92" s="2"/>
    </row>
    <row r="93" spans="1:12" ht="18.75" x14ac:dyDescent="0.25">
      <c r="A93" s="9" t="s">
        <v>20</v>
      </c>
      <c r="B93" s="8"/>
      <c r="C93" s="4"/>
      <c r="D93" s="15" t="s">
        <v>68</v>
      </c>
      <c r="E93" s="41" t="s">
        <v>139</v>
      </c>
      <c r="F93" s="41" t="s">
        <v>139</v>
      </c>
      <c r="G93" s="13" t="s">
        <v>30</v>
      </c>
      <c r="H93" s="41" t="s">
        <v>139</v>
      </c>
      <c r="I93" s="41" t="s">
        <v>139</v>
      </c>
      <c r="J93" s="13"/>
      <c r="L93" s="2"/>
    </row>
    <row r="94" spans="1:12" ht="31.5" x14ac:dyDescent="0.25">
      <c r="A94" s="9" t="s">
        <v>21</v>
      </c>
      <c r="B94" s="8"/>
      <c r="C94" s="4"/>
      <c r="D94" s="15" t="s">
        <v>70</v>
      </c>
      <c r="E94" s="41" t="s">
        <v>139</v>
      </c>
      <c r="F94" s="41" t="s">
        <v>139</v>
      </c>
      <c r="G94" s="13" t="s">
        <v>54</v>
      </c>
      <c r="H94" s="41" t="s">
        <v>139</v>
      </c>
      <c r="I94" s="41" t="s">
        <v>139</v>
      </c>
      <c r="J94" s="13"/>
      <c r="L94" s="2"/>
    </row>
    <row r="95" spans="1:12" ht="18.75" x14ac:dyDescent="0.25">
      <c r="A95" s="47"/>
      <c r="B95" s="48"/>
      <c r="C95" s="22"/>
      <c r="D95" s="30"/>
      <c r="E95" s="45"/>
      <c r="F95" s="45"/>
      <c r="G95" s="31"/>
      <c r="H95" s="41"/>
      <c r="I95" s="46">
        <f>SUM(I59:I94)</f>
        <v>826823.60000000009</v>
      </c>
      <c r="J95" s="13"/>
      <c r="L95" s="2"/>
    </row>
    <row r="96" spans="1:12" ht="18.75" x14ac:dyDescent="0.3">
      <c r="A96" s="57" t="s">
        <v>71</v>
      </c>
      <c r="B96" s="58"/>
      <c r="C96" s="58"/>
      <c r="D96" s="58"/>
      <c r="E96" s="58"/>
      <c r="F96" s="58"/>
      <c r="G96" s="59"/>
      <c r="H96" s="19"/>
      <c r="I96" s="5"/>
      <c r="J96" s="13"/>
      <c r="L96" s="2"/>
    </row>
    <row r="97" spans="1:12" ht="37.5" x14ac:dyDescent="0.25">
      <c r="A97" s="9" t="s">
        <v>92</v>
      </c>
      <c r="B97" s="8"/>
      <c r="C97" s="4"/>
      <c r="D97" s="4" t="s">
        <v>127</v>
      </c>
      <c r="E97" s="31"/>
      <c r="F97" s="13">
        <f>30+20+20+10+30+20+20+20+20+20+20</f>
        <v>230</v>
      </c>
      <c r="G97" s="13" t="s">
        <v>116</v>
      </c>
      <c r="H97" s="33">
        <f>(18952+12634.8+12634.8+6458.4+19378.8+12920.4+13261.4+19894.2+13681.2+13681.2+13681.2)/F97/3</f>
        <v>227.79478260869564</v>
      </c>
      <c r="I97" s="33">
        <f>F97*H97</f>
        <v>52392.799999999996</v>
      </c>
      <c r="J97" s="13" t="s">
        <v>117</v>
      </c>
      <c r="L97" s="2"/>
    </row>
    <row r="98" spans="1:12" ht="18.75" x14ac:dyDescent="0.25">
      <c r="A98" s="9"/>
      <c r="B98" s="8"/>
      <c r="C98" s="4"/>
      <c r="D98" s="15" t="s">
        <v>147</v>
      </c>
      <c r="E98" s="41" t="s">
        <v>139</v>
      </c>
      <c r="F98" s="41" t="s">
        <v>139</v>
      </c>
      <c r="G98" s="13" t="s">
        <v>31</v>
      </c>
      <c r="H98" s="41" t="s">
        <v>139</v>
      </c>
      <c r="I98" s="41" t="s">
        <v>139</v>
      </c>
      <c r="J98" s="13"/>
      <c r="L98" s="2"/>
    </row>
    <row r="99" spans="1:12" ht="31.5" x14ac:dyDescent="0.25">
      <c r="A99" s="9"/>
      <c r="B99" s="8"/>
      <c r="C99" s="4"/>
      <c r="D99" s="15" t="s">
        <v>167</v>
      </c>
      <c r="E99" s="41" t="s">
        <v>139</v>
      </c>
      <c r="F99" s="41" t="s">
        <v>139</v>
      </c>
      <c r="G99" s="13" t="s">
        <v>150</v>
      </c>
      <c r="H99" s="41" t="s">
        <v>139</v>
      </c>
      <c r="I99" s="41" t="s">
        <v>139</v>
      </c>
      <c r="J99" s="13"/>
      <c r="L99" s="2"/>
    </row>
    <row r="100" spans="1:12" ht="31.5" x14ac:dyDescent="0.25">
      <c r="A100" s="9"/>
      <c r="B100" s="8"/>
      <c r="C100" s="4"/>
      <c r="D100" s="15" t="s">
        <v>170</v>
      </c>
      <c r="E100" s="41" t="s">
        <v>139</v>
      </c>
      <c r="F100" s="41">
        <f>0.5</f>
        <v>0.5</v>
      </c>
      <c r="G100" s="13" t="s">
        <v>30</v>
      </c>
      <c r="H100" s="41">
        <f>155.6/F100</f>
        <v>311.2</v>
      </c>
      <c r="I100" s="67">
        <f>F100*H100</f>
        <v>155.6</v>
      </c>
      <c r="J100" s="13" t="s">
        <v>119</v>
      </c>
      <c r="L100" s="2"/>
    </row>
    <row r="101" spans="1:12" ht="78.75" x14ac:dyDescent="0.25">
      <c r="A101" s="9"/>
      <c r="B101" s="8"/>
      <c r="C101" s="4"/>
      <c r="D101" s="15" t="s">
        <v>231</v>
      </c>
      <c r="E101" s="41" t="s">
        <v>139</v>
      </c>
      <c r="F101" s="41">
        <f>2</f>
        <v>2</v>
      </c>
      <c r="G101" s="13" t="s">
        <v>169</v>
      </c>
      <c r="H101" s="41">
        <f>44/F101</f>
        <v>22</v>
      </c>
      <c r="I101" s="67">
        <f>F101*H101</f>
        <v>44</v>
      </c>
      <c r="J101" s="13" t="s">
        <v>119</v>
      </c>
      <c r="L101" s="2"/>
    </row>
    <row r="102" spans="1:12" ht="47.25" x14ac:dyDescent="0.25">
      <c r="A102" s="9"/>
      <c r="B102" s="8"/>
      <c r="C102" s="4"/>
      <c r="D102" s="15" t="s">
        <v>174</v>
      </c>
      <c r="E102" s="41" t="s">
        <v>139</v>
      </c>
      <c r="F102" s="41">
        <f>0.5</f>
        <v>0.5</v>
      </c>
      <c r="G102" s="13" t="s">
        <v>30</v>
      </c>
      <c r="H102" s="41">
        <f>2453.8/F102</f>
        <v>4907.6000000000004</v>
      </c>
      <c r="I102" s="67">
        <f>F102*H102</f>
        <v>2453.8000000000002</v>
      </c>
      <c r="J102" s="13" t="s">
        <v>119</v>
      </c>
      <c r="L102" s="2"/>
    </row>
    <row r="103" spans="1:12" ht="31.5" x14ac:dyDescent="0.25">
      <c r="A103" s="9"/>
      <c r="B103" s="8"/>
      <c r="C103" s="4"/>
      <c r="D103" s="15" t="s">
        <v>187</v>
      </c>
      <c r="E103" s="41" t="s">
        <v>139</v>
      </c>
      <c r="F103" s="41" t="s">
        <v>139</v>
      </c>
      <c r="G103" s="13" t="s">
        <v>150</v>
      </c>
      <c r="H103" s="41" t="s">
        <v>139</v>
      </c>
      <c r="I103" s="41" t="s">
        <v>139</v>
      </c>
      <c r="J103" s="13"/>
      <c r="L103" s="2"/>
    </row>
    <row r="104" spans="1:12" ht="31.5" x14ac:dyDescent="0.25">
      <c r="A104" s="9"/>
      <c r="B104" s="8"/>
      <c r="C104" s="4"/>
      <c r="D104" s="15" t="s">
        <v>229</v>
      </c>
      <c r="E104" s="41"/>
      <c r="F104" s="41">
        <f>1</f>
        <v>1</v>
      </c>
      <c r="G104" s="13" t="s">
        <v>143</v>
      </c>
      <c r="H104" s="41">
        <f>1672.2/F104</f>
        <v>1672.2</v>
      </c>
      <c r="I104" s="67">
        <f>F104*H104</f>
        <v>1672.2</v>
      </c>
      <c r="J104" s="13" t="s">
        <v>119</v>
      </c>
      <c r="L104" s="2"/>
    </row>
    <row r="105" spans="1:12" ht="18.75" x14ac:dyDescent="0.25">
      <c r="A105" s="9"/>
      <c r="B105" s="8"/>
      <c r="C105" s="4"/>
      <c r="D105" s="15" t="s">
        <v>184</v>
      </c>
      <c r="E105" s="41"/>
      <c r="F105" s="41">
        <f>1</f>
        <v>1</v>
      </c>
      <c r="G105" s="13" t="s">
        <v>148</v>
      </c>
      <c r="H105" s="41">
        <f>500.8/F105</f>
        <v>500.8</v>
      </c>
      <c r="I105" s="67">
        <f>F105*H105</f>
        <v>500.8</v>
      </c>
      <c r="J105" s="13" t="s">
        <v>117</v>
      </c>
      <c r="L105" s="2"/>
    </row>
    <row r="106" spans="1:12" ht="18.75" x14ac:dyDescent="0.25">
      <c r="A106" s="9" t="s">
        <v>83</v>
      </c>
      <c r="B106" s="8"/>
      <c r="C106" s="4"/>
      <c r="D106" s="15" t="s">
        <v>69</v>
      </c>
      <c r="E106" s="41" t="s">
        <v>139</v>
      </c>
      <c r="F106" s="41" t="s">
        <v>139</v>
      </c>
      <c r="G106" s="13" t="s">
        <v>54</v>
      </c>
      <c r="H106" s="41" t="s">
        <v>139</v>
      </c>
      <c r="I106" s="41" t="s">
        <v>139</v>
      </c>
      <c r="J106" s="13"/>
      <c r="L106" s="2"/>
    </row>
    <row r="107" spans="1:12" ht="31.5" x14ac:dyDescent="0.25">
      <c r="A107" s="9"/>
      <c r="B107" s="8"/>
      <c r="C107" s="4"/>
      <c r="D107" s="15" t="s">
        <v>230</v>
      </c>
      <c r="E107" s="41" t="s">
        <v>139</v>
      </c>
      <c r="F107" s="41">
        <f>5+2+6+1</f>
        <v>14</v>
      </c>
      <c r="G107" s="13" t="s">
        <v>31</v>
      </c>
      <c r="H107" s="46">
        <f>(5616.2+2768.2+6999+1168.2)/F107</f>
        <v>1182.2571428571428</v>
      </c>
      <c r="I107" s="67">
        <f>F107*H107-0.2</f>
        <v>16551.399999999998</v>
      </c>
      <c r="J107" s="13" t="s">
        <v>223</v>
      </c>
      <c r="K107" s="72"/>
      <c r="L107" s="2"/>
    </row>
    <row r="108" spans="1:12" ht="31.5" x14ac:dyDescent="0.25">
      <c r="A108" s="9" t="s">
        <v>21</v>
      </c>
      <c r="B108" s="8"/>
      <c r="C108" s="4"/>
      <c r="D108" s="15" t="s">
        <v>70</v>
      </c>
      <c r="E108" s="41" t="s">
        <v>139</v>
      </c>
      <c r="F108" s="41" t="s">
        <v>139</v>
      </c>
      <c r="G108" s="13" t="s">
        <v>142</v>
      </c>
      <c r="H108" s="41" t="s">
        <v>139</v>
      </c>
      <c r="I108" s="41" t="s">
        <v>139</v>
      </c>
      <c r="J108" s="13"/>
      <c r="L108" s="2"/>
    </row>
    <row r="109" spans="1:12" ht="18.75" x14ac:dyDescent="0.25">
      <c r="A109" s="47"/>
      <c r="B109" s="48"/>
      <c r="C109" s="22"/>
      <c r="D109" s="30"/>
      <c r="E109" s="45"/>
      <c r="F109" s="45"/>
      <c r="G109" s="31"/>
      <c r="H109" s="41"/>
      <c r="I109" s="46">
        <f>SUM(I97:I108)</f>
        <v>73770.599999999991</v>
      </c>
      <c r="J109" s="13"/>
      <c r="L109" s="2"/>
    </row>
    <row r="110" spans="1:12" ht="18.75" x14ac:dyDescent="0.3">
      <c r="A110" s="57" t="s">
        <v>72</v>
      </c>
      <c r="B110" s="58"/>
      <c r="C110" s="58"/>
      <c r="D110" s="58"/>
      <c r="E110" s="58"/>
      <c r="F110" s="58"/>
      <c r="G110" s="59"/>
      <c r="H110" s="13"/>
      <c r="I110" s="5"/>
      <c r="J110" s="13"/>
      <c r="L110" s="2"/>
    </row>
    <row r="111" spans="1:12" ht="37.5" x14ac:dyDescent="0.25">
      <c r="A111" s="9" t="s">
        <v>92</v>
      </c>
      <c r="B111" s="8"/>
      <c r="C111" s="4"/>
      <c r="D111" s="4" t="s">
        <v>128</v>
      </c>
      <c r="E111" s="31"/>
      <c r="F111" s="13">
        <f>30+20+20+10+30+20+20+20+20+20+20</f>
        <v>230</v>
      </c>
      <c r="G111" s="13" t="s">
        <v>116</v>
      </c>
      <c r="H111" s="33">
        <f>(18952+12634.8+12634.8+6458.4+19378.8+12920.4+13261.4+19894.2+13681.2+13681.2+13681.2)/F111/3</f>
        <v>227.79478260869564</v>
      </c>
      <c r="I111" s="33">
        <f>F111*H111</f>
        <v>52392.799999999996</v>
      </c>
      <c r="J111" s="13" t="s">
        <v>117</v>
      </c>
      <c r="L111" s="2"/>
    </row>
    <row r="112" spans="1:12" ht="31.5" x14ac:dyDescent="0.25">
      <c r="A112" s="9"/>
      <c r="B112" s="8"/>
      <c r="C112" s="4"/>
      <c r="D112" s="15" t="s">
        <v>170</v>
      </c>
      <c r="E112" s="41" t="s">
        <v>139</v>
      </c>
      <c r="F112" s="41" t="s">
        <v>139</v>
      </c>
      <c r="G112" s="13" t="s">
        <v>30</v>
      </c>
      <c r="H112" s="41" t="s">
        <v>139</v>
      </c>
      <c r="I112" s="41" t="s">
        <v>139</v>
      </c>
      <c r="J112" s="13"/>
      <c r="L112" s="2"/>
    </row>
    <row r="113" spans="1:12" ht="78.75" x14ac:dyDescent="0.25">
      <c r="A113" s="9"/>
      <c r="B113" s="8"/>
      <c r="C113" s="4"/>
      <c r="D113" s="15" t="s">
        <v>171</v>
      </c>
      <c r="E113" s="41" t="s">
        <v>139</v>
      </c>
      <c r="F113" s="41" t="s">
        <v>139</v>
      </c>
      <c r="G113" s="13" t="s">
        <v>169</v>
      </c>
      <c r="H113" s="41" t="s">
        <v>139</v>
      </c>
      <c r="I113" s="41" t="s">
        <v>139</v>
      </c>
      <c r="J113" s="13"/>
      <c r="L113" s="2"/>
    </row>
    <row r="114" spans="1:12" ht="47.25" x14ac:dyDescent="0.25">
      <c r="A114" s="9"/>
      <c r="B114" s="8"/>
      <c r="C114" s="4"/>
      <c r="D114" s="15" t="s">
        <v>149</v>
      </c>
      <c r="E114" s="41" t="s">
        <v>139</v>
      </c>
      <c r="F114" s="41" t="s">
        <v>139</v>
      </c>
      <c r="G114" s="13" t="s">
        <v>30</v>
      </c>
      <c r="H114" s="41" t="s">
        <v>139</v>
      </c>
      <c r="I114" s="41" t="s">
        <v>139</v>
      </c>
      <c r="J114" s="13"/>
      <c r="L114" s="2"/>
    </row>
    <row r="115" spans="1:12" ht="78.75" x14ac:dyDescent="0.25">
      <c r="A115" s="9"/>
      <c r="B115" s="8"/>
      <c r="C115" s="4"/>
      <c r="D115" s="15" t="s">
        <v>172</v>
      </c>
      <c r="E115" s="41" t="s">
        <v>139</v>
      </c>
      <c r="F115" s="41" t="s">
        <v>139</v>
      </c>
      <c r="G115" s="13" t="s">
        <v>169</v>
      </c>
      <c r="H115" s="41" t="s">
        <v>139</v>
      </c>
      <c r="I115" s="41" t="s">
        <v>139</v>
      </c>
      <c r="J115" s="13"/>
      <c r="L115" s="2"/>
    </row>
    <row r="116" spans="1:12" ht="47.25" x14ac:dyDescent="0.25">
      <c r="A116" s="9"/>
      <c r="B116" s="8"/>
      <c r="C116" s="4"/>
      <c r="D116" s="15" t="s">
        <v>173</v>
      </c>
      <c r="E116" s="41" t="s">
        <v>139</v>
      </c>
      <c r="F116" s="41" t="s">
        <v>139</v>
      </c>
      <c r="G116" s="13" t="s">
        <v>30</v>
      </c>
      <c r="H116" s="41" t="s">
        <v>139</v>
      </c>
      <c r="I116" s="41" t="s">
        <v>139</v>
      </c>
      <c r="J116" s="13"/>
      <c r="L116" s="2"/>
    </row>
    <row r="117" spans="1:12" ht="47.25" x14ac:dyDescent="0.25">
      <c r="A117" s="9"/>
      <c r="B117" s="8"/>
      <c r="C117" s="4"/>
      <c r="D117" s="15" t="s">
        <v>174</v>
      </c>
      <c r="E117" s="41" t="s">
        <v>139</v>
      </c>
      <c r="F117" s="41" t="s">
        <v>139</v>
      </c>
      <c r="G117" s="13" t="s">
        <v>30</v>
      </c>
      <c r="H117" s="41" t="s">
        <v>139</v>
      </c>
      <c r="I117" s="41" t="s">
        <v>139</v>
      </c>
      <c r="J117" s="13"/>
      <c r="L117" s="2"/>
    </row>
    <row r="118" spans="1:12" ht="31.5" x14ac:dyDescent="0.25">
      <c r="A118" s="9"/>
      <c r="B118" s="8"/>
      <c r="C118" s="4"/>
      <c r="D118" s="15" t="s">
        <v>175</v>
      </c>
      <c r="E118" s="41" t="s">
        <v>139</v>
      </c>
      <c r="F118" s="41" t="s">
        <v>139</v>
      </c>
      <c r="G118" s="13" t="s">
        <v>30</v>
      </c>
      <c r="H118" s="41" t="s">
        <v>139</v>
      </c>
      <c r="I118" s="41" t="s">
        <v>139</v>
      </c>
      <c r="J118" s="13"/>
      <c r="L118" s="2"/>
    </row>
    <row r="119" spans="1:12" ht="31.5" x14ac:dyDescent="0.25">
      <c r="A119" s="9"/>
      <c r="B119" s="8"/>
      <c r="C119" s="4"/>
      <c r="D119" s="15" t="s">
        <v>176</v>
      </c>
      <c r="E119" s="41" t="s">
        <v>139</v>
      </c>
      <c r="F119" s="41" t="s">
        <v>139</v>
      </c>
      <c r="G119" s="13" t="s">
        <v>30</v>
      </c>
      <c r="H119" s="41" t="s">
        <v>139</v>
      </c>
      <c r="I119" s="41" t="s">
        <v>139</v>
      </c>
      <c r="J119" s="13"/>
      <c r="L119" s="2"/>
    </row>
    <row r="120" spans="1:12" ht="31.5" x14ac:dyDescent="0.25">
      <c r="A120" s="9"/>
      <c r="B120" s="8"/>
      <c r="C120" s="4"/>
      <c r="D120" s="15" t="s">
        <v>177</v>
      </c>
      <c r="E120" s="41" t="s">
        <v>139</v>
      </c>
      <c r="F120" s="41" t="s">
        <v>139</v>
      </c>
      <c r="G120" s="13" t="s">
        <v>30</v>
      </c>
      <c r="H120" s="41" t="s">
        <v>139</v>
      </c>
      <c r="I120" s="41" t="s">
        <v>139</v>
      </c>
      <c r="J120" s="13"/>
      <c r="L120" s="2"/>
    </row>
    <row r="121" spans="1:12" ht="31.5" x14ac:dyDescent="0.25">
      <c r="A121" s="9"/>
      <c r="B121" s="8"/>
      <c r="C121" s="4"/>
      <c r="D121" s="15" t="s">
        <v>164</v>
      </c>
      <c r="E121" s="41" t="s">
        <v>139</v>
      </c>
      <c r="F121" s="41" t="s">
        <v>139</v>
      </c>
      <c r="G121" s="13" t="s">
        <v>150</v>
      </c>
      <c r="H121" s="41" t="s">
        <v>139</v>
      </c>
      <c r="I121" s="41" t="s">
        <v>139</v>
      </c>
      <c r="J121" s="13"/>
      <c r="L121" s="2"/>
    </row>
    <row r="122" spans="1:12" ht="18.75" x14ac:dyDescent="0.25">
      <c r="A122" s="9"/>
      <c r="B122" s="8"/>
      <c r="C122" s="4"/>
      <c r="D122" s="15" t="s">
        <v>184</v>
      </c>
      <c r="E122" s="41"/>
      <c r="F122" s="41">
        <f>1</f>
        <v>1</v>
      </c>
      <c r="G122" s="13" t="s">
        <v>148</v>
      </c>
      <c r="H122" s="41">
        <f>524.2/F122</f>
        <v>524.20000000000005</v>
      </c>
      <c r="I122" s="67">
        <f>F122*H122</f>
        <v>524.20000000000005</v>
      </c>
      <c r="J122" s="13" t="s">
        <v>247</v>
      </c>
      <c r="L122" s="2"/>
    </row>
    <row r="123" spans="1:12" ht="18.75" x14ac:dyDescent="0.25">
      <c r="A123" s="9"/>
      <c r="B123" s="8"/>
      <c r="C123" s="4"/>
      <c r="D123" s="15" t="s">
        <v>165</v>
      </c>
      <c r="E123" s="41" t="s">
        <v>139</v>
      </c>
      <c r="F123" s="41" t="s">
        <v>139</v>
      </c>
      <c r="G123" s="13" t="s">
        <v>148</v>
      </c>
      <c r="H123" s="41" t="s">
        <v>139</v>
      </c>
      <c r="I123" s="41" t="s">
        <v>139</v>
      </c>
      <c r="J123" s="13"/>
      <c r="L123" s="2"/>
    </row>
    <row r="124" spans="1:12" ht="18.75" x14ac:dyDescent="0.25">
      <c r="A124" s="9" t="s">
        <v>83</v>
      </c>
      <c r="B124" s="8"/>
      <c r="C124" s="4"/>
      <c r="D124" s="15" t="s">
        <v>69</v>
      </c>
      <c r="E124" s="41" t="s">
        <v>139</v>
      </c>
      <c r="F124" s="41" t="s">
        <v>139</v>
      </c>
      <c r="G124" s="14" t="s">
        <v>54</v>
      </c>
      <c r="H124" s="41" t="s">
        <v>139</v>
      </c>
      <c r="I124" s="41" t="s">
        <v>139</v>
      </c>
      <c r="J124" s="13"/>
      <c r="L124" s="2"/>
    </row>
    <row r="125" spans="1:12" ht="18.75" x14ac:dyDescent="0.25">
      <c r="A125" s="9"/>
      <c r="B125" s="8"/>
      <c r="C125" s="4"/>
      <c r="D125" s="15" t="s">
        <v>233</v>
      </c>
      <c r="E125" s="41" t="s">
        <v>139</v>
      </c>
      <c r="F125" s="41">
        <f>2+3</f>
        <v>5</v>
      </c>
      <c r="G125" s="13" t="s">
        <v>31</v>
      </c>
      <c r="H125" s="46">
        <f>(2332.8+3343)/F125</f>
        <v>1135.1600000000001</v>
      </c>
      <c r="I125" s="67">
        <f>F125*H125</f>
        <v>5675.8</v>
      </c>
      <c r="J125" s="13"/>
      <c r="L125" s="2"/>
    </row>
    <row r="126" spans="1:12" ht="31.5" x14ac:dyDescent="0.25">
      <c r="A126" s="9" t="s">
        <v>21</v>
      </c>
      <c r="B126" s="8"/>
      <c r="C126" s="4"/>
      <c r="D126" s="15" t="s">
        <v>70</v>
      </c>
      <c r="E126" s="41" t="s">
        <v>139</v>
      </c>
      <c r="F126" s="41" t="s">
        <v>139</v>
      </c>
      <c r="G126" s="14" t="s">
        <v>54</v>
      </c>
      <c r="H126" s="41" t="s">
        <v>139</v>
      </c>
      <c r="I126" s="41" t="s">
        <v>139</v>
      </c>
      <c r="J126" s="13"/>
      <c r="L126" s="2"/>
    </row>
    <row r="127" spans="1:12" ht="18.75" x14ac:dyDescent="0.25">
      <c r="A127" s="9"/>
      <c r="B127" s="8"/>
      <c r="C127" s="4"/>
      <c r="D127" s="15" t="s">
        <v>234</v>
      </c>
      <c r="E127" s="41"/>
      <c r="F127" s="41">
        <f>1</f>
        <v>1</v>
      </c>
      <c r="G127" s="14" t="s">
        <v>31</v>
      </c>
      <c r="H127" s="41">
        <f>15823.6/F127</f>
        <v>15823.6</v>
      </c>
      <c r="I127" s="67">
        <f>F127*H127</f>
        <v>15823.6</v>
      </c>
      <c r="J127" s="13" t="s">
        <v>119</v>
      </c>
      <c r="L127" s="2"/>
    </row>
    <row r="128" spans="1:12" ht="18.75" x14ac:dyDescent="0.25">
      <c r="A128" s="47"/>
      <c r="B128" s="48"/>
      <c r="C128" s="22"/>
      <c r="D128" s="30"/>
      <c r="E128" s="45"/>
      <c r="F128" s="45"/>
      <c r="G128" s="12"/>
      <c r="H128" s="41"/>
      <c r="I128" s="46">
        <f>SUM(I111:I127)</f>
        <v>74416.399999999994</v>
      </c>
      <c r="J128" s="13"/>
      <c r="L128" s="2"/>
    </row>
    <row r="129" spans="1:12" ht="18.75" x14ac:dyDescent="0.3">
      <c r="A129" s="57" t="s">
        <v>73</v>
      </c>
      <c r="B129" s="58"/>
      <c r="C129" s="58"/>
      <c r="D129" s="58"/>
      <c r="E129" s="58"/>
      <c r="F129" s="58"/>
      <c r="G129" s="59"/>
      <c r="H129" s="19"/>
      <c r="I129" s="5"/>
      <c r="J129" s="13"/>
      <c r="L129" s="2"/>
    </row>
    <row r="130" spans="1:12" ht="37.5" x14ac:dyDescent="0.25">
      <c r="A130" s="9" t="s">
        <v>98</v>
      </c>
      <c r="B130" s="8"/>
      <c r="C130" s="4"/>
      <c r="D130" s="4" t="s">
        <v>129</v>
      </c>
      <c r="E130" s="31"/>
      <c r="F130" s="13">
        <f>30+20+20+10+30+20+20+20+20+20+20</f>
        <v>230</v>
      </c>
      <c r="G130" s="13" t="s">
        <v>116</v>
      </c>
      <c r="H130" s="33">
        <f>(18952+12634.8+12634.8+6458.4+19378.8+12920.4+13261.4+19894.2+13681.2+13681.2+13681.2)/F130/3</f>
        <v>227.79478260869564</v>
      </c>
      <c r="I130" s="33">
        <f>F130*H130</f>
        <v>52392.799999999996</v>
      </c>
      <c r="J130" s="13" t="s">
        <v>117</v>
      </c>
      <c r="L130" s="2"/>
    </row>
    <row r="131" spans="1:12" ht="31.5" x14ac:dyDescent="0.25">
      <c r="A131" s="9"/>
      <c r="B131" s="8"/>
      <c r="C131" s="4"/>
      <c r="D131" s="15" t="s">
        <v>225</v>
      </c>
      <c r="E131" s="41"/>
      <c r="F131" s="41">
        <f>1+2+2</f>
        <v>5</v>
      </c>
      <c r="G131" s="13" t="s">
        <v>30</v>
      </c>
      <c r="H131" s="46">
        <f>(1212.4+2495.8+2541)/F131</f>
        <v>1249.8400000000001</v>
      </c>
      <c r="I131" s="67">
        <f>F131*H131</f>
        <v>6249.2000000000007</v>
      </c>
      <c r="J131" s="13" t="s">
        <v>121</v>
      </c>
      <c r="L131" s="2"/>
    </row>
    <row r="132" spans="1:12" ht="18.75" x14ac:dyDescent="0.25">
      <c r="A132" s="9"/>
      <c r="B132" s="8"/>
      <c r="C132" s="4"/>
      <c r="D132" s="4" t="s">
        <v>115</v>
      </c>
      <c r="E132" s="41"/>
      <c r="F132" s="41">
        <f>15+5+15+10+15+10+10+20+25+15</f>
        <v>140</v>
      </c>
      <c r="G132" s="13" t="s">
        <v>30</v>
      </c>
      <c r="H132" s="46">
        <f>(4517.4+1506.4+4615.8+3077.4+4746.6+3165.8+3165.8+6520.2+8152.2+4890.6)/F132</f>
        <v>316.84428571428572</v>
      </c>
      <c r="I132" s="41">
        <f>F132*H132</f>
        <v>44358.2</v>
      </c>
      <c r="J132" s="13" t="s">
        <v>117</v>
      </c>
      <c r="L132" s="2"/>
    </row>
    <row r="133" spans="1:12" ht="18.75" x14ac:dyDescent="0.25">
      <c r="A133" s="9"/>
      <c r="B133" s="8"/>
      <c r="C133" s="4"/>
      <c r="D133" s="4" t="s">
        <v>152</v>
      </c>
      <c r="E133" s="41" t="s">
        <v>139</v>
      </c>
      <c r="F133" s="41" t="s">
        <v>139</v>
      </c>
      <c r="G133" s="13" t="s">
        <v>30</v>
      </c>
      <c r="H133" s="41" t="s">
        <v>139</v>
      </c>
      <c r="I133" s="41" t="s">
        <v>139</v>
      </c>
      <c r="J133" s="13"/>
      <c r="L133" s="2"/>
    </row>
    <row r="134" spans="1:12" ht="18.75" x14ac:dyDescent="0.25">
      <c r="A134" s="9"/>
      <c r="B134" s="8"/>
      <c r="C134" s="4"/>
      <c r="D134" s="4" t="s">
        <v>182</v>
      </c>
      <c r="E134" s="41" t="s">
        <v>139</v>
      </c>
      <c r="F134" s="41">
        <f>2</f>
        <v>2</v>
      </c>
      <c r="G134" s="13" t="s">
        <v>136</v>
      </c>
      <c r="H134" s="41">
        <f>128.8</f>
        <v>128.80000000000001</v>
      </c>
      <c r="I134" s="41" t="s">
        <v>139</v>
      </c>
      <c r="J134" s="13"/>
      <c r="L134" s="2"/>
    </row>
    <row r="135" spans="1:12" ht="18.75" x14ac:dyDescent="0.25">
      <c r="A135" s="9"/>
      <c r="B135" s="8"/>
      <c r="C135" s="4"/>
      <c r="D135" s="4" t="s">
        <v>183</v>
      </c>
      <c r="E135" s="41" t="s">
        <v>139</v>
      </c>
      <c r="F135" s="41">
        <f>1+5</f>
        <v>6</v>
      </c>
      <c r="G135" s="13" t="s">
        <v>136</v>
      </c>
      <c r="H135" s="46">
        <f>(1325.4+6625.4)/F135</f>
        <v>1325.1333333333332</v>
      </c>
      <c r="I135" s="41">
        <f>F135*H135</f>
        <v>7950.7999999999993</v>
      </c>
      <c r="J135" s="13" t="s">
        <v>119</v>
      </c>
      <c r="L135" s="2"/>
    </row>
    <row r="136" spans="1:12" ht="18.75" x14ac:dyDescent="0.25">
      <c r="A136" s="9"/>
      <c r="B136" s="8"/>
      <c r="C136" s="4"/>
      <c r="D136" s="4" t="s">
        <v>248</v>
      </c>
      <c r="E136" s="41" t="s">
        <v>139</v>
      </c>
      <c r="F136" s="41">
        <f>1</f>
        <v>1</v>
      </c>
      <c r="G136" s="13" t="s">
        <v>31</v>
      </c>
      <c r="H136" s="41">
        <f>9170/F136</f>
        <v>9170</v>
      </c>
      <c r="I136" s="67">
        <f>F136*H136</f>
        <v>9170</v>
      </c>
      <c r="J136" s="13" t="s">
        <v>247</v>
      </c>
      <c r="L136" s="2"/>
    </row>
    <row r="137" spans="1:12" ht="18.75" x14ac:dyDescent="0.25">
      <c r="A137" s="9" t="s">
        <v>22</v>
      </c>
      <c r="B137" s="8"/>
      <c r="C137" s="4"/>
      <c r="D137" s="4" t="s">
        <v>76</v>
      </c>
      <c r="E137" s="41" t="s">
        <v>139</v>
      </c>
      <c r="F137" s="41" t="s">
        <v>139</v>
      </c>
      <c r="G137" s="13" t="s">
        <v>30</v>
      </c>
      <c r="H137" s="41" t="s">
        <v>139</v>
      </c>
      <c r="I137" s="41" t="s">
        <v>139</v>
      </c>
      <c r="J137" s="13"/>
      <c r="L137" s="2"/>
    </row>
    <row r="138" spans="1:12" ht="18.75" x14ac:dyDescent="0.25">
      <c r="A138" s="47"/>
      <c r="B138" s="48"/>
      <c r="C138" s="22"/>
      <c r="D138" s="22"/>
      <c r="E138" s="45"/>
      <c r="F138" s="45"/>
      <c r="G138" s="31"/>
      <c r="H138" s="41"/>
      <c r="I138" s="46">
        <f>SUM(I130:I137)</f>
        <v>120121</v>
      </c>
      <c r="J138" s="13"/>
      <c r="L138" s="2"/>
    </row>
    <row r="139" spans="1:12" ht="18.75" x14ac:dyDescent="0.3">
      <c r="A139" s="57" t="s">
        <v>78</v>
      </c>
      <c r="B139" s="58"/>
      <c r="C139" s="58"/>
      <c r="D139" s="58"/>
      <c r="E139" s="58"/>
      <c r="F139" s="58"/>
      <c r="G139" s="59"/>
      <c r="H139" s="5"/>
      <c r="I139" s="5"/>
      <c r="J139" s="13"/>
      <c r="L139" s="2"/>
    </row>
    <row r="140" spans="1:12" ht="38.25" customHeight="1" x14ac:dyDescent="0.25">
      <c r="A140" s="9" t="s">
        <v>23</v>
      </c>
      <c r="B140" s="5"/>
      <c r="C140" s="4"/>
      <c r="D140" s="15" t="s">
        <v>140</v>
      </c>
      <c r="E140" s="41" t="s">
        <v>139</v>
      </c>
      <c r="F140" s="41" t="s">
        <v>139</v>
      </c>
      <c r="G140" s="13" t="s">
        <v>54</v>
      </c>
      <c r="H140" s="41" t="s">
        <v>139</v>
      </c>
      <c r="I140" s="41" t="s">
        <v>139</v>
      </c>
      <c r="J140" s="13"/>
      <c r="L140" s="2"/>
    </row>
    <row r="141" spans="1:12" ht="38.25" customHeight="1" x14ac:dyDescent="0.25">
      <c r="A141" s="9"/>
      <c r="B141" s="5"/>
      <c r="C141" s="4"/>
      <c r="D141" s="15" t="s">
        <v>249</v>
      </c>
      <c r="E141" s="41" t="s">
        <v>139</v>
      </c>
      <c r="F141" s="41">
        <f>4</f>
        <v>4</v>
      </c>
      <c r="G141" s="13" t="s">
        <v>31</v>
      </c>
      <c r="H141" s="41">
        <f>87372.2/F141</f>
        <v>21843.05</v>
      </c>
      <c r="I141" s="67">
        <f>F141*H141</f>
        <v>87372.2</v>
      </c>
      <c r="J141" s="13" t="s">
        <v>250</v>
      </c>
      <c r="L141" s="2"/>
    </row>
    <row r="142" spans="1:12" ht="18.75" x14ac:dyDescent="0.25">
      <c r="A142" s="9" t="s">
        <v>24</v>
      </c>
      <c r="B142" s="5"/>
      <c r="C142" s="4"/>
      <c r="D142" s="4" t="s">
        <v>77</v>
      </c>
      <c r="E142" s="41" t="s">
        <v>139</v>
      </c>
      <c r="F142" s="41" t="s">
        <v>139</v>
      </c>
      <c r="G142" s="13" t="s">
        <v>54</v>
      </c>
      <c r="H142" s="41" t="s">
        <v>139</v>
      </c>
      <c r="I142" s="41" t="s">
        <v>139</v>
      </c>
      <c r="J142" s="13"/>
      <c r="L142" s="2"/>
    </row>
    <row r="143" spans="1:12" ht="31.5" x14ac:dyDescent="0.25">
      <c r="A143" s="9" t="s">
        <v>125</v>
      </c>
      <c r="B143" s="5"/>
      <c r="C143" s="4"/>
      <c r="D143" s="15" t="s">
        <v>208</v>
      </c>
      <c r="E143" s="41"/>
      <c r="F143" s="41"/>
      <c r="G143" s="13" t="s">
        <v>54</v>
      </c>
      <c r="H143" s="41">
        <v>996.6</v>
      </c>
      <c r="I143" s="41">
        <f>F143*H143</f>
        <v>0</v>
      </c>
      <c r="J143" s="13" t="s">
        <v>121</v>
      </c>
      <c r="L143" s="2"/>
    </row>
    <row r="144" spans="1:12" ht="18.75" x14ac:dyDescent="0.25">
      <c r="A144" s="9"/>
      <c r="B144" s="5"/>
      <c r="C144" s="4"/>
      <c r="D144" s="15" t="s">
        <v>162</v>
      </c>
      <c r="E144" s="41"/>
      <c r="F144" s="41"/>
      <c r="G144" s="13" t="s">
        <v>143</v>
      </c>
      <c r="H144" s="41">
        <v>242.4</v>
      </c>
      <c r="I144" s="41">
        <f>F144*H144</f>
        <v>0</v>
      </c>
      <c r="J144" s="13" t="s">
        <v>121</v>
      </c>
      <c r="L144" s="2"/>
    </row>
    <row r="145" spans="1:12" ht="31.5" x14ac:dyDescent="0.25">
      <c r="A145" s="9"/>
      <c r="B145" s="5"/>
      <c r="C145" s="4"/>
      <c r="D145" s="15" t="s">
        <v>126</v>
      </c>
      <c r="E145" s="41"/>
      <c r="F145" s="41">
        <f>2+1+1</f>
        <v>4</v>
      </c>
      <c r="G145" s="13" t="s">
        <v>31</v>
      </c>
      <c r="H145" s="46">
        <f>(3312.6+1655.8+1699.8)/F145</f>
        <v>1667.05</v>
      </c>
      <c r="I145" s="73">
        <f>F145*H145</f>
        <v>6668.2</v>
      </c>
      <c r="J145" s="13" t="s">
        <v>145</v>
      </c>
      <c r="L145" s="2"/>
    </row>
    <row r="146" spans="1:12" ht="18.75" x14ac:dyDescent="0.25">
      <c r="A146" s="9"/>
      <c r="B146" s="5"/>
      <c r="C146" s="4"/>
      <c r="D146" s="15" t="s">
        <v>178</v>
      </c>
      <c r="E146" s="41"/>
      <c r="F146" s="41">
        <f>15+2+4+1+10+2</f>
        <v>34</v>
      </c>
      <c r="G146" s="13" t="s">
        <v>54</v>
      </c>
      <c r="H146" s="46">
        <f>(1066.8+144.6+290+72.8+740.6+151.6)/F146</f>
        <v>72.541176470588226</v>
      </c>
      <c r="I146" s="41">
        <f>F146*H146</f>
        <v>2466.3999999999996</v>
      </c>
      <c r="J146" s="13" t="s">
        <v>117</v>
      </c>
      <c r="L146" s="2"/>
    </row>
    <row r="147" spans="1:12" ht="18.75" x14ac:dyDescent="0.25">
      <c r="A147" s="9"/>
      <c r="B147" s="5"/>
      <c r="C147" s="4"/>
      <c r="D147" s="15" t="s">
        <v>198</v>
      </c>
      <c r="E147" s="41"/>
      <c r="F147" s="41"/>
      <c r="G147" s="13" t="s">
        <v>54</v>
      </c>
      <c r="H147" s="41">
        <v>152.19999999999999</v>
      </c>
      <c r="I147" s="41">
        <f>F147*H147</f>
        <v>0</v>
      </c>
      <c r="J147" s="13" t="s">
        <v>145</v>
      </c>
      <c r="L147" s="2"/>
    </row>
    <row r="148" spans="1:12" ht="18.75" x14ac:dyDescent="0.25">
      <c r="A148" s="9"/>
      <c r="B148" s="5"/>
      <c r="C148" s="4"/>
      <c r="D148" s="15" t="s">
        <v>107</v>
      </c>
      <c r="E148" s="32"/>
      <c r="F148" s="13">
        <f>6+1+2+3+3+1+7+3+3+20+6</f>
        <v>55</v>
      </c>
      <c r="G148" s="13" t="s">
        <v>54</v>
      </c>
      <c r="H148" s="33">
        <f>(1007+168.8+334.6+507.8+507.8+168.8+1196.4+512.8+521+3459+1036.6)/F148</f>
        <v>171.28363636363636</v>
      </c>
      <c r="I148" s="13">
        <f t="shared" ref="I148" si="4">F148*H148</f>
        <v>9420.6</v>
      </c>
      <c r="J148" s="13" t="s">
        <v>117</v>
      </c>
      <c r="L148" s="2"/>
    </row>
    <row r="149" spans="1:12" ht="18.75" x14ac:dyDescent="0.25">
      <c r="A149" s="9"/>
      <c r="B149" s="5"/>
      <c r="C149" s="4"/>
      <c r="D149" s="15" t="s">
        <v>199</v>
      </c>
      <c r="E149" s="41"/>
      <c r="F149" s="41"/>
      <c r="G149" s="13" t="s">
        <v>31</v>
      </c>
      <c r="H149" s="46">
        <v>245</v>
      </c>
      <c r="I149" s="41">
        <f>F149*H149</f>
        <v>0</v>
      </c>
      <c r="J149" s="13" t="s">
        <v>121</v>
      </c>
      <c r="L149" s="2"/>
    </row>
    <row r="150" spans="1:12" ht="18.75" x14ac:dyDescent="0.25">
      <c r="A150" s="9"/>
      <c r="B150" s="5"/>
      <c r="C150" s="4"/>
      <c r="D150" s="15" t="s">
        <v>191</v>
      </c>
      <c r="E150" s="41"/>
      <c r="F150" s="41">
        <f>1+1</f>
        <v>2</v>
      </c>
      <c r="G150" s="13" t="s">
        <v>31</v>
      </c>
      <c r="H150" s="41">
        <f>(306.4+306.4)/F150</f>
        <v>306.39999999999998</v>
      </c>
      <c r="I150" s="73">
        <f>F150*H150</f>
        <v>612.79999999999995</v>
      </c>
      <c r="J150" s="13" t="s">
        <v>121</v>
      </c>
      <c r="L150" s="2"/>
    </row>
    <row r="151" spans="1:12" ht="56.25" x14ac:dyDescent="0.25">
      <c r="A151" s="9" t="s">
        <v>108</v>
      </c>
      <c r="B151" s="5"/>
      <c r="C151" s="4"/>
      <c r="D151" s="15" t="s">
        <v>123</v>
      </c>
      <c r="E151" s="32"/>
      <c r="F151" s="13">
        <f>27+27+27+27+27+27+27+27+27+27+27+27</f>
        <v>324</v>
      </c>
      <c r="G151" s="13" t="s">
        <v>109</v>
      </c>
      <c r="H151" s="33">
        <f>(1066+1066+1066+1090.2+1090.2+1090.2+1118.8+1118.8+1118.8+1152.6+1152.6+1152.6)/F151</f>
        <v>40.996296296296293</v>
      </c>
      <c r="I151" s="13">
        <f>F151*H151</f>
        <v>13282.8</v>
      </c>
      <c r="J151" s="13" t="s">
        <v>117</v>
      </c>
      <c r="L151" s="2"/>
    </row>
    <row r="152" spans="1:12" ht="18.75" x14ac:dyDescent="0.25">
      <c r="A152" s="47"/>
      <c r="B152" s="22"/>
      <c r="C152" s="22"/>
      <c r="D152" s="30"/>
      <c r="E152" s="49"/>
      <c r="F152" s="50"/>
      <c r="G152" s="31"/>
      <c r="H152" s="31"/>
      <c r="I152" s="13">
        <f>SUM(I141:I151)</f>
        <v>119823</v>
      </c>
      <c r="J152" s="13"/>
      <c r="L152" s="2"/>
    </row>
    <row r="153" spans="1:12" ht="18.75" x14ac:dyDescent="0.25">
      <c r="A153" s="64" t="s">
        <v>91</v>
      </c>
      <c r="B153" s="65"/>
      <c r="C153" s="65"/>
      <c r="D153" s="65"/>
      <c r="E153" s="65"/>
      <c r="F153" s="65"/>
      <c r="G153" s="66"/>
      <c r="H153" s="12"/>
      <c r="I153" s="5"/>
      <c r="J153" s="13"/>
      <c r="L153" s="2"/>
    </row>
    <row r="154" spans="1:12" ht="18.75" x14ac:dyDescent="0.25">
      <c r="A154" s="26"/>
      <c r="B154" s="27"/>
      <c r="C154" s="27"/>
      <c r="D154" s="36" t="s">
        <v>118</v>
      </c>
      <c r="E154" s="41"/>
      <c r="F154" s="41">
        <f>1</f>
        <v>1</v>
      </c>
      <c r="G154" s="38" t="s">
        <v>31</v>
      </c>
      <c r="H154" s="41">
        <f>1211.6/F154</f>
        <v>1211.5999999999999</v>
      </c>
      <c r="I154" s="41">
        <f>F154*H154</f>
        <v>1211.5999999999999</v>
      </c>
      <c r="J154" s="13" t="s">
        <v>145</v>
      </c>
      <c r="L154" s="2"/>
    </row>
    <row r="155" spans="1:12" ht="63" x14ac:dyDescent="0.25">
      <c r="A155" s="9" t="s">
        <v>89</v>
      </c>
      <c r="B155" s="22"/>
      <c r="C155" s="22"/>
      <c r="D155" s="23" t="s">
        <v>120</v>
      </c>
      <c r="E155" s="37">
        <v>920</v>
      </c>
      <c r="F155" s="13">
        <v>920</v>
      </c>
      <c r="G155" s="31" t="s">
        <v>90</v>
      </c>
      <c r="H155" s="31">
        <v>4.8</v>
      </c>
      <c r="I155" s="13">
        <f>F155*H155*12</f>
        <v>52992</v>
      </c>
      <c r="J155" s="13" t="s">
        <v>117</v>
      </c>
      <c r="L155" s="2"/>
    </row>
    <row r="156" spans="1:12" ht="18.75" x14ac:dyDescent="0.25">
      <c r="A156" s="47"/>
      <c r="B156" s="22"/>
      <c r="C156" s="22"/>
      <c r="D156" s="30"/>
      <c r="E156" s="49"/>
      <c r="F156" s="50"/>
      <c r="G156" s="31"/>
      <c r="H156" s="31"/>
      <c r="I156" s="13">
        <f>SUM(I154:I155)</f>
        <v>54203.6</v>
      </c>
      <c r="J156" s="13"/>
      <c r="L156" s="2"/>
    </row>
    <row r="157" spans="1:12" ht="18.75" x14ac:dyDescent="0.3">
      <c r="A157" s="57" t="s">
        <v>79</v>
      </c>
      <c r="B157" s="58"/>
      <c r="C157" s="58"/>
      <c r="D157" s="58"/>
      <c r="E157" s="58"/>
      <c r="F157" s="58"/>
      <c r="G157" s="59"/>
      <c r="H157" s="19"/>
      <c r="I157" s="5"/>
      <c r="J157" s="13"/>
      <c r="L157" s="2"/>
    </row>
    <row r="158" spans="1:12" ht="46.5" customHeight="1" x14ac:dyDescent="0.3">
      <c r="A158" s="34" t="s">
        <v>131</v>
      </c>
      <c r="B158" s="24"/>
      <c r="C158" s="24"/>
      <c r="D158" s="35" t="s">
        <v>130</v>
      </c>
      <c r="E158" s="13">
        <v>238</v>
      </c>
      <c r="F158" s="13">
        <v>238</v>
      </c>
      <c r="G158" s="13" t="s">
        <v>138</v>
      </c>
      <c r="H158" s="13">
        <v>13</v>
      </c>
      <c r="I158" s="13">
        <f>F158*H158*3</f>
        <v>9282</v>
      </c>
      <c r="J158" s="13" t="s">
        <v>146</v>
      </c>
      <c r="L158" s="2"/>
    </row>
    <row r="159" spans="1:12" ht="18.75" x14ac:dyDescent="0.25">
      <c r="A159" s="9" t="s">
        <v>25</v>
      </c>
      <c r="B159" s="5"/>
      <c r="C159" s="4"/>
      <c r="D159" s="4" t="s">
        <v>75</v>
      </c>
      <c r="E159" s="41" t="s">
        <v>139</v>
      </c>
      <c r="F159" s="41" t="s">
        <v>139</v>
      </c>
      <c r="G159" s="14" t="s">
        <v>54</v>
      </c>
      <c r="H159" s="41" t="s">
        <v>139</v>
      </c>
      <c r="I159" s="41" t="s">
        <v>139</v>
      </c>
      <c r="J159" s="13"/>
      <c r="L159" s="2"/>
    </row>
    <row r="160" spans="1:12" ht="47.25" x14ac:dyDescent="0.25">
      <c r="A160" s="9" t="s">
        <v>26</v>
      </c>
      <c r="B160" s="5"/>
      <c r="C160" s="4"/>
      <c r="D160" s="15" t="s">
        <v>28</v>
      </c>
      <c r="E160" s="41" t="s">
        <v>139</v>
      </c>
      <c r="F160" s="41" t="s">
        <v>139</v>
      </c>
      <c r="G160" s="14" t="s">
        <v>54</v>
      </c>
      <c r="H160" s="41" t="s">
        <v>139</v>
      </c>
      <c r="I160" s="41" t="s">
        <v>139</v>
      </c>
      <c r="J160" s="13"/>
      <c r="L160" s="2"/>
    </row>
    <row r="161" spans="1:12" ht="31.5" x14ac:dyDescent="0.25">
      <c r="A161" s="9" t="s">
        <v>27</v>
      </c>
      <c r="B161" s="5"/>
      <c r="C161" s="4"/>
      <c r="D161" s="15" t="s">
        <v>74</v>
      </c>
      <c r="E161" s="41" t="s">
        <v>139</v>
      </c>
      <c r="F161" s="41" t="s">
        <v>139</v>
      </c>
      <c r="G161" s="14" t="s">
        <v>54</v>
      </c>
      <c r="H161" s="41" t="s">
        <v>139</v>
      </c>
      <c r="I161" s="41" t="s">
        <v>139</v>
      </c>
      <c r="J161" s="13"/>
      <c r="L161" s="2"/>
    </row>
    <row r="162" spans="1:12" ht="18.75" x14ac:dyDescent="0.25">
      <c r="A162" s="47"/>
      <c r="B162" s="22"/>
      <c r="C162" s="22"/>
      <c r="D162" s="30"/>
      <c r="E162" s="45"/>
      <c r="F162" s="45"/>
      <c r="G162" s="12"/>
      <c r="H162" s="51"/>
      <c r="I162" s="51">
        <f>SUM(I158:I161)</f>
        <v>9282</v>
      </c>
      <c r="J162" s="52"/>
      <c r="L162" s="2"/>
    </row>
    <row r="163" spans="1:12" ht="18.75" x14ac:dyDescent="0.3">
      <c r="A163" s="57" t="s">
        <v>84</v>
      </c>
      <c r="B163" s="58"/>
      <c r="C163" s="58"/>
      <c r="D163" s="58"/>
      <c r="E163" s="58"/>
      <c r="F163" s="58"/>
      <c r="G163" s="59"/>
      <c r="H163" s="2"/>
      <c r="I163" s="2"/>
      <c r="J163" s="2"/>
      <c r="K163" s="2"/>
      <c r="L163" s="2"/>
    </row>
    <row r="164" spans="1:12" ht="48" x14ac:dyDescent="0.3">
      <c r="A164" s="6" t="s">
        <v>66</v>
      </c>
      <c r="B164" s="6"/>
      <c r="C164" s="4"/>
      <c r="D164" s="15" t="s">
        <v>85</v>
      </c>
      <c r="E164" s="41" t="s">
        <v>139</v>
      </c>
      <c r="F164" s="41" t="s">
        <v>139</v>
      </c>
      <c r="G164" s="13" t="s">
        <v>30</v>
      </c>
      <c r="H164" s="41" t="s">
        <v>139</v>
      </c>
      <c r="I164" s="41" t="s">
        <v>139</v>
      </c>
      <c r="J164" s="5"/>
      <c r="L164" s="2"/>
    </row>
    <row r="165" spans="1:12" ht="32.25" x14ac:dyDescent="0.3">
      <c r="A165" s="28"/>
      <c r="B165" s="29"/>
      <c r="C165" s="22"/>
      <c r="D165" s="30" t="s">
        <v>110</v>
      </c>
      <c r="E165" s="44" t="s">
        <v>139</v>
      </c>
      <c r="F165" s="41" t="s">
        <v>139</v>
      </c>
      <c r="G165" s="13" t="s">
        <v>111</v>
      </c>
      <c r="H165" s="41" t="s">
        <v>139</v>
      </c>
      <c r="I165" s="41" t="s">
        <v>139</v>
      </c>
      <c r="J165" s="39"/>
      <c r="L165" s="2"/>
    </row>
    <row r="166" spans="1:12" ht="18.75" x14ac:dyDescent="0.3">
      <c r="A166" s="57" t="s">
        <v>99</v>
      </c>
      <c r="B166" s="58"/>
      <c r="C166" s="58"/>
      <c r="D166" s="58"/>
      <c r="E166" s="58"/>
      <c r="F166" s="58"/>
      <c r="G166" s="59"/>
      <c r="H166" s="57"/>
      <c r="I166" s="58"/>
      <c r="J166" s="58"/>
      <c r="L166" s="2"/>
    </row>
    <row r="167" spans="1:12" ht="32.25" x14ac:dyDescent="0.3">
      <c r="A167" s="34" t="s">
        <v>144</v>
      </c>
      <c r="B167" s="24"/>
      <c r="C167" s="24"/>
      <c r="D167" s="40" t="s">
        <v>133</v>
      </c>
      <c r="E167" s="13"/>
      <c r="F167" s="13">
        <f>1</f>
        <v>1</v>
      </c>
      <c r="G167" s="13" t="s">
        <v>134</v>
      </c>
      <c r="H167" s="13">
        <v>800</v>
      </c>
      <c r="I167" s="69">
        <f t="shared" ref="I167:I170" si="5">F167*H167</f>
        <v>800</v>
      </c>
      <c r="J167" s="13" t="s">
        <v>122</v>
      </c>
      <c r="L167" s="2"/>
    </row>
    <row r="168" spans="1:12" ht="48" x14ac:dyDescent="0.3">
      <c r="A168" s="24"/>
      <c r="B168" s="24"/>
      <c r="C168" s="24"/>
      <c r="D168" s="40" t="s">
        <v>135</v>
      </c>
      <c r="E168" s="41"/>
      <c r="F168" s="41"/>
      <c r="G168" s="13" t="s">
        <v>136</v>
      </c>
      <c r="H168" s="41"/>
      <c r="I168" s="70"/>
      <c r="J168" s="13"/>
      <c r="L168" s="2"/>
    </row>
    <row r="169" spans="1:12" ht="32.25" x14ac:dyDescent="0.3">
      <c r="A169" s="24"/>
      <c r="B169" s="24"/>
      <c r="C169" s="24"/>
      <c r="D169" s="40" t="s">
        <v>221</v>
      </c>
      <c r="E169" s="13"/>
      <c r="F169" s="13">
        <f>50+50+30</f>
        <v>130</v>
      </c>
      <c r="G169" s="13" t="s">
        <v>137</v>
      </c>
      <c r="H169" s="13">
        <f>(2500+2500+1375)/F169</f>
        <v>49.03846153846154</v>
      </c>
      <c r="I169" s="69">
        <f t="shared" si="5"/>
        <v>6375</v>
      </c>
      <c r="J169" s="13" t="s">
        <v>122</v>
      </c>
      <c r="L169" s="2"/>
    </row>
    <row r="170" spans="1:12" ht="32.25" x14ac:dyDescent="0.3">
      <c r="A170" s="24"/>
      <c r="B170" s="24"/>
      <c r="C170" s="24"/>
      <c r="D170" s="40" t="s">
        <v>222</v>
      </c>
      <c r="E170" s="13"/>
      <c r="F170" s="13">
        <f>60+165</f>
        <v>225</v>
      </c>
      <c r="G170" s="13" t="s">
        <v>137</v>
      </c>
      <c r="H170" s="33">
        <f>(2500+8479)/F170</f>
        <v>48.795555555555552</v>
      </c>
      <c r="I170" s="69">
        <f t="shared" si="5"/>
        <v>10979</v>
      </c>
      <c r="J170" s="13" t="s">
        <v>122</v>
      </c>
      <c r="L170" s="2"/>
    </row>
    <row r="171" spans="1:12" ht="48" x14ac:dyDescent="0.3">
      <c r="A171" s="24"/>
      <c r="B171" s="24"/>
      <c r="C171" s="24"/>
      <c r="D171" s="40" t="s">
        <v>246</v>
      </c>
      <c r="E171" s="13"/>
      <c r="F171" s="13">
        <f>224</f>
        <v>224</v>
      </c>
      <c r="G171" s="13" t="s">
        <v>114</v>
      </c>
      <c r="H171" s="33">
        <f>34040.4/F171</f>
        <v>151.96607142857144</v>
      </c>
      <c r="I171" s="69">
        <f>F171*H171</f>
        <v>34040.400000000001</v>
      </c>
      <c r="J171" s="13" t="s">
        <v>121</v>
      </c>
      <c r="L171" s="2"/>
    </row>
    <row r="172" spans="1:12" ht="63" x14ac:dyDescent="0.3">
      <c r="A172" s="24"/>
      <c r="B172" s="24"/>
      <c r="C172" s="24"/>
      <c r="D172" s="40" t="s">
        <v>245</v>
      </c>
      <c r="E172" s="13"/>
      <c r="F172" s="13">
        <f>43</f>
        <v>43</v>
      </c>
      <c r="G172" s="38" t="s">
        <v>207</v>
      </c>
      <c r="H172" s="33">
        <f>24759/F172</f>
        <v>575.79069767441865</v>
      </c>
      <c r="I172" s="71">
        <f t="shared" ref="I172:I179" si="6">F172*H172</f>
        <v>24759.000000000004</v>
      </c>
      <c r="J172" s="13" t="s">
        <v>121</v>
      </c>
      <c r="L172" s="2"/>
    </row>
    <row r="173" spans="1:12" ht="18.75" x14ac:dyDescent="0.3">
      <c r="A173" s="24"/>
      <c r="B173" s="24"/>
      <c r="C173" s="24"/>
      <c r="D173" s="40" t="s">
        <v>205</v>
      </c>
      <c r="E173" s="13"/>
      <c r="F173" s="13"/>
      <c r="G173" s="13" t="s">
        <v>114</v>
      </c>
      <c r="H173" s="13"/>
      <c r="I173" s="13"/>
      <c r="J173" s="13"/>
      <c r="L173" s="2"/>
    </row>
    <row r="174" spans="1:12" ht="63" x14ac:dyDescent="0.3">
      <c r="A174" s="24"/>
      <c r="B174" s="24"/>
      <c r="C174" s="24"/>
      <c r="D174" s="40" t="s">
        <v>206</v>
      </c>
      <c r="E174" s="13"/>
      <c r="F174" s="13"/>
      <c r="G174" s="38" t="s">
        <v>207</v>
      </c>
      <c r="H174" s="13"/>
      <c r="I174" s="13"/>
      <c r="J174" s="13"/>
      <c r="L174" s="2"/>
    </row>
    <row r="175" spans="1:12" ht="32.25" x14ac:dyDescent="0.3">
      <c r="A175" s="24"/>
      <c r="B175" s="24"/>
      <c r="C175" s="24"/>
      <c r="D175" s="40" t="s">
        <v>211</v>
      </c>
      <c r="E175" s="13"/>
      <c r="F175" s="13"/>
      <c r="G175" s="38" t="s">
        <v>212</v>
      </c>
      <c r="H175" s="13"/>
      <c r="I175" s="13"/>
      <c r="J175" s="13"/>
      <c r="L175" s="2"/>
    </row>
    <row r="176" spans="1:12" ht="32.25" x14ac:dyDescent="0.3">
      <c r="A176" s="24"/>
      <c r="B176" s="24"/>
      <c r="C176" s="24"/>
      <c r="D176" s="40" t="s">
        <v>213</v>
      </c>
      <c r="E176" s="13"/>
      <c r="F176" s="13"/>
      <c r="G176" s="38" t="s">
        <v>214</v>
      </c>
      <c r="H176" s="13"/>
      <c r="I176" s="13"/>
      <c r="J176" s="13"/>
      <c r="L176" s="2"/>
    </row>
    <row r="177" spans="1:12" ht="18.75" x14ac:dyDescent="0.3">
      <c r="A177" s="24"/>
      <c r="B177" s="24"/>
      <c r="C177" s="24"/>
      <c r="D177" s="40" t="s">
        <v>226</v>
      </c>
      <c r="E177" s="13"/>
      <c r="F177" s="13">
        <f>2</f>
        <v>2</v>
      </c>
      <c r="G177" s="13" t="s">
        <v>31</v>
      </c>
      <c r="H177" s="13">
        <f>15594.8/F177</f>
        <v>7797.4</v>
      </c>
      <c r="I177" s="71">
        <f t="shared" si="6"/>
        <v>15594.8</v>
      </c>
      <c r="J177" s="14" t="s">
        <v>121</v>
      </c>
      <c r="L177" s="2"/>
    </row>
    <row r="178" spans="1:12" ht="18.75" x14ac:dyDescent="0.3">
      <c r="A178" s="24"/>
      <c r="B178" s="24"/>
      <c r="C178" s="24"/>
      <c r="D178" s="40" t="s">
        <v>232</v>
      </c>
      <c r="E178" s="13"/>
      <c r="F178" s="13">
        <f>1</f>
        <v>1</v>
      </c>
      <c r="G178" s="13" t="s">
        <v>31</v>
      </c>
      <c r="H178" s="13">
        <v>6200</v>
      </c>
      <c r="I178" s="71">
        <f>F178*H178</f>
        <v>6200</v>
      </c>
      <c r="J178" s="14" t="s">
        <v>119</v>
      </c>
      <c r="L178" s="2"/>
    </row>
    <row r="179" spans="1:12" ht="18.75" x14ac:dyDescent="0.3">
      <c r="A179" s="34" t="s">
        <v>157</v>
      </c>
      <c r="B179" s="14"/>
      <c r="C179" s="14"/>
      <c r="D179" s="40" t="s">
        <v>224</v>
      </c>
      <c r="E179" s="13"/>
      <c r="F179" s="13">
        <f>1+1</f>
        <v>2</v>
      </c>
      <c r="G179" s="13" t="s">
        <v>31</v>
      </c>
      <c r="H179" s="13">
        <f>(2202+1356)/F179</f>
        <v>1779</v>
      </c>
      <c r="I179" s="71">
        <f t="shared" si="6"/>
        <v>3558</v>
      </c>
      <c r="J179" s="14" t="s">
        <v>121</v>
      </c>
      <c r="L179" s="2"/>
    </row>
    <row r="180" spans="1:12" ht="18.75" x14ac:dyDescent="0.3">
      <c r="A180" s="34"/>
      <c r="B180" s="14"/>
      <c r="C180" s="14"/>
      <c r="D180" s="40"/>
      <c r="E180" s="13"/>
      <c r="F180" s="13"/>
      <c r="G180" s="13"/>
      <c r="H180" s="13"/>
      <c r="I180" s="69">
        <f>SUM(I167:I179)</f>
        <v>102306.20000000001</v>
      </c>
      <c r="J180" s="14"/>
      <c r="L180" s="2"/>
    </row>
    <row r="181" spans="1:12" ht="15.75" x14ac:dyDescent="0.25">
      <c r="A181" s="75" t="s">
        <v>251</v>
      </c>
      <c r="B181" s="14"/>
      <c r="C181" s="14"/>
      <c r="D181" s="43"/>
      <c r="E181" s="14"/>
      <c r="F181" s="14"/>
      <c r="G181" s="38"/>
      <c r="H181" s="14"/>
      <c r="I181" s="76">
        <f>I6+I22+I42+I44+I70+I71+I72+I74+I75+I76+I77+I80+I81+I82+I85+I86+I87+I88+I89+I91+I100+I101+I102+I104+I105+I107+I122+I125+I127+I131+I136+I141+I167+I169+I170+I171+I172+I177+I178+I179</f>
        <v>649699.6</v>
      </c>
      <c r="J181" s="14"/>
      <c r="L181" s="2"/>
    </row>
    <row r="182" spans="1:12" ht="15.75" x14ac:dyDescent="0.25">
      <c r="A182" s="53" t="s">
        <v>219</v>
      </c>
      <c r="B182" s="25"/>
      <c r="C182" s="25"/>
      <c r="D182" s="43"/>
      <c r="E182" s="13"/>
      <c r="F182" s="13"/>
      <c r="G182" s="38"/>
      <c r="H182" s="13"/>
      <c r="I182" s="77">
        <f>I15+I38+I56+I95+I109+I128+I138+I152+I156+I162+I180</f>
        <v>1393082.6</v>
      </c>
      <c r="J182" s="14"/>
      <c r="K182" s="2"/>
      <c r="L182" s="2"/>
    </row>
    <row r="183" spans="1:12" ht="99.75" customHeight="1" x14ac:dyDescent="0.25">
      <c r="A183" s="54" t="s">
        <v>106</v>
      </c>
      <c r="B183" s="54"/>
      <c r="C183" s="54"/>
      <c r="D183" s="54"/>
      <c r="E183" s="54"/>
      <c r="F183" s="54"/>
      <c r="G183" s="54"/>
      <c r="H183" s="54"/>
      <c r="I183" s="54"/>
      <c r="J183" s="54"/>
      <c r="K183" s="2"/>
      <c r="L183" s="2"/>
    </row>
    <row r="184" spans="1:12" ht="15.75" x14ac:dyDescent="0.25">
      <c r="A184" s="2"/>
      <c r="B184" s="2"/>
      <c r="C184" s="2"/>
      <c r="D184" s="16"/>
      <c r="E184" s="16"/>
      <c r="F184" s="2"/>
      <c r="G184" s="2"/>
      <c r="H184" s="2"/>
      <c r="I184" s="2"/>
      <c r="J184" s="2"/>
      <c r="K184" s="2"/>
      <c r="L184" s="2"/>
    </row>
    <row r="185" spans="1:12" ht="15.75" x14ac:dyDescent="0.25">
      <c r="A185" s="2"/>
      <c r="B185" s="2"/>
      <c r="C185" s="2"/>
      <c r="D185" s="16"/>
      <c r="E185" s="16"/>
      <c r="F185" s="2"/>
      <c r="G185" s="2"/>
      <c r="H185" s="2"/>
      <c r="I185" s="2"/>
      <c r="J185" s="74"/>
      <c r="K185" s="2"/>
      <c r="L185" s="2"/>
    </row>
    <row r="186" spans="1:12" ht="15.75" x14ac:dyDescent="0.25">
      <c r="A186" s="2"/>
      <c r="B186" s="2"/>
      <c r="C186" s="2"/>
      <c r="D186" s="16"/>
      <c r="E186" s="16"/>
      <c r="F186" s="2"/>
      <c r="G186" s="2"/>
      <c r="H186" s="2"/>
      <c r="I186" s="2"/>
      <c r="J186" s="2"/>
      <c r="K186" s="2"/>
      <c r="L186" s="2"/>
    </row>
    <row r="187" spans="1:12" ht="15.75" x14ac:dyDescent="0.25">
      <c r="A187" s="2"/>
      <c r="B187" s="2"/>
      <c r="C187" s="2"/>
      <c r="D187" s="16"/>
      <c r="E187" s="16"/>
      <c r="F187" s="2"/>
      <c r="G187" s="2"/>
      <c r="H187" s="2"/>
      <c r="I187" s="2"/>
      <c r="J187" s="2"/>
      <c r="K187" s="2"/>
      <c r="L187" s="2"/>
    </row>
    <row r="188" spans="1:12" ht="15.75" x14ac:dyDescent="0.25">
      <c r="A188" s="2"/>
      <c r="B188" s="2"/>
      <c r="C188" s="2"/>
      <c r="D188" s="16"/>
      <c r="E188" s="16"/>
      <c r="F188" s="2"/>
      <c r="G188" s="2"/>
      <c r="H188" s="2"/>
      <c r="I188" s="2"/>
      <c r="J188" s="2"/>
      <c r="K188" s="2"/>
      <c r="L188" s="2"/>
    </row>
    <row r="189" spans="1:12" ht="15.75" x14ac:dyDescent="0.25">
      <c r="A189" s="2"/>
      <c r="B189" s="2"/>
      <c r="C189" s="2"/>
      <c r="D189" s="16"/>
      <c r="E189" s="16"/>
      <c r="F189" s="2"/>
      <c r="G189" s="2"/>
      <c r="H189" s="2"/>
      <c r="I189" s="2"/>
      <c r="J189" s="2"/>
      <c r="K189" s="2"/>
      <c r="L189" s="2"/>
    </row>
    <row r="190" spans="1:12" ht="15.75" x14ac:dyDescent="0.25">
      <c r="A190" s="2"/>
      <c r="B190" s="2"/>
      <c r="C190" s="2"/>
      <c r="D190" s="16"/>
      <c r="E190" s="16"/>
      <c r="F190" s="2"/>
      <c r="G190" s="2"/>
      <c r="H190" s="2"/>
      <c r="I190" s="2"/>
      <c r="J190" s="2"/>
      <c r="K190" s="2"/>
      <c r="L190" s="2"/>
    </row>
    <row r="191" spans="1:12" ht="15.75" x14ac:dyDescent="0.25">
      <c r="A191" s="2"/>
      <c r="B191" s="2"/>
      <c r="C191" s="2"/>
      <c r="D191" s="16"/>
      <c r="E191" s="16"/>
      <c r="F191" s="2"/>
      <c r="G191" s="2"/>
      <c r="H191" s="2"/>
      <c r="I191" s="2"/>
      <c r="J191" s="2"/>
      <c r="K191" s="2"/>
      <c r="L191" s="2"/>
    </row>
    <row r="192" spans="1:12" ht="15.75" x14ac:dyDescent="0.25">
      <c r="A192" s="2"/>
      <c r="B192" s="2"/>
      <c r="C192" s="2"/>
      <c r="D192" s="16"/>
      <c r="E192" s="16"/>
      <c r="F192" s="2"/>
      <c r="G192" s="2"/>
      <c r="H192" s="2"/>
      <c r="I192" s="2"/>
      <c r="J192" s="2"/>
      <c r="K192" s="2"/>
      <c r="L192" s="2"/>
    </row>
    <row r="193" spans="1:12" ht="15.75" x14ac:dyDescent="0.25">
      <c r="A193" s="2"/>
      <c r="B193" s="2"/>
      <c r="C193" s="2"/>
      <c r="D193" s="16"/>
      <c r="E193" s="16"/>
      <c r="F193" s="2"/>
      <c r="G193" s="2"/>
      <c r="H193" s="2"/>
      <c r="I193" s="2"/>
      <c r="J193" s="2"/>
      <c r="K193" s="2"/>
      <c r="L193" s="2"/>
    </row>
    <row r="194" spans="1:12" ht="15.75" x14ac:dyDescent="0.25">
      <c r="A194" s="2"/>
      <c r="B194" s="2"/>
      <c r="C194" s="2"/>
      <c r="D194" s="16"/>
      <c r="E194" s="16"/>
      <c r="F194" s="2"/>
      <c r="G194" s="2"/>
      <c r="H194" s="2"/>
      <c r="I194" s="2"/>
      <c r="J194" s="2"/>
      <c r="K194" s="2"/>
      <c r="L194" s="2"/>
    </row>
    <row r="195" spans="1:12" ht="15.75" x14ac:dyDescent="0.25">
      <c r="A195" s="2"/>
      <c r="B195" s="2"/>
      <c r="C195" s="2"/>
      <c r="D195" s="16"/>
      <c r="E195" s="16"/>
      <c r="F195" s="2"/>
      <c r="G195" s="2"/>
      <c r="H195" s="2"/>
      <c r="I195" s="2"/>
      <c r="J195" s="2"/>
      <c r="K195" s="2"/>
      <c r="L195" s="2"/>
    </row>
    <row r="196" spans="1:12" ht="15.75" x14ac:dyDescent="0.25">
      <c r="A196" s="2"/>
      <c r="B196" s="2"/>
      <c r="C196" s="2"/>
      <c r="D196" s="16"/>
      <c r="E196" s="16"/>
      <c r="F196" s="2"/>
      <c r="G196" s="2"/>
      <c r="H196" s="2"/>
      <c r="I196" s="2"/>
      <c r="J196" s="2"/>
      <c r="K196" s="2"/>
      <c r="L196" s="2"/>
    </row>
    <row r="197" spans="1:12" ht="15.75" x14ac:dyDescent="0.25">
      <c r="A197" s="2"/>
      <c r="B197" s="2"/>
      <c r="C197" s="2"/>
      <c r="D197" s="16"/>
      <c r="E197" s="16"/>
      <c r="F197" s="2"/>
      <c r="G197" s="2"/>
      <c r="H197" s="2"/>
      <c r="I197" s="2"/>
      <c r="J197" s="2"/>
      <c r="K197" s="2"/>
      <c r="L197" s="2"/>
    </row>
    <row r="198" spans="1:12" ht="15.75" x14ac:dyDescent="0.25">
      <c r="A198" s="2"/>
      <c r="B198" s="2"/>
      <c r="C198" s="2"/>
      <c r="D198" s="16"/>
      <c r="E198" s="16"/>
      <c r="F198" s="2"/>
      <c r="G198" s="2"/>
      <c r="H198" s="2"/>
      <c r="I198" s="2"/>
      <c r="J198" s="2"/>
      <c r="K198" s="2"/>
      <c r="L198" s="2"/>
    </row>
    <row r="199" spans="1:12" ht="15.75" x14ac:dyDescent="0.25">
      <c r="A199" s="2"/>
      <c r="B199" s="2"/>
      <c r="C199" s="2"/>
      <c r="D199" s="16"/>
      <c r="E199" s="16"/>
      <c r="F199" s="2"/>
      <c r="G199" s="2"/>
      <c r="H199" s="2"/>
      <c r="I199" s="2"/>
      <c r="J199" s="2"/>
      <c r="K199" s="2"/>
      <c r="L199" s="2"/>
    </row>
    <row r="200" spans="1:12" ht="15.75" x14ac:dyDescent="0.25">
      <c r="A200" s="2"/>
      <c r="B200" s="2"/>
      <c r="C200" s="2"/>
      <c r="D200" s="16"/>
      <c r="E200" s="16"/>
      <c r="F200" s="2"/>
      <c r="G200" s="2"/>
      <c r="H200" s="2"/>
      <c r="I200" s="2"/>
      <c r="J200" s="2"/>
      <c r="K200" s="2"/>
      <c r="L200" s="2"/>
    </row>
    <row r="201" spans="1:12" ht="15.75" x14ac:dyDescent="0.25">
      <c r="A201" s="2"/>
      <c r="B201" s="2"/>
      <c r="C201" s="2"/>
      <c r="D201" s="16"/>
      <c r="E201" s="16"/>
      <c r="F201" s="2"/>
      <c r="G201" s="2"/>
      <c r="H201" s="2"/>
      <c r="I201" s="2"/>
      <c r="J201" s="2"/>
      <c r="K201" s="2"/>
      <c r="L201" s="2"/>
    </row>
    <row r="202" spans="1:12" ht="15.75" x14ac:dyDescent="0.25">
      <c r="A202" s="2"/>
      <c r="B202" s="2"/>
      <c r="C202" s="2"/>
      <c r="D202" s="16"/>
      <c r="E202" s="16"/>
      <c r="F202" s="2"/>
      <c r="G202" s="2"/>
      <c r="H202" s="2"/>
      <c r="I202" s="2"/>
      <c r="J202" s="2"/>
      <c r="K202" s="2"/>
      <c r="L202" s="2"/>
    </row>
    <row r="203" spans="1:12" ht="15.75" x14ac:dyDescent="0.25">
      <c r="A203" s="2"/>
      <c r="B203" s="2"/>
      <c r="C203" s="2"/>
      <c r="D203" s="16"/>
      <c r="E203" s="16"/>
      <c r="F203" s="2"/>
      <c r="G203" s="2"/>
      <c r="H203" s="2"/>
      <c r="I203" s="2"/>
      <c r="J203" s="2"/>
      <c r="K203" s="2"/>
      <c r="L203" s="2"/>
    </row>
    <row r="204" spans="1:12" ht="15.75" x14ac:dyDescent="0.25">
      <c r="A204" s="2"/>
      <c r="B204" s="2"/>
      <c r="C204" s="2"/>
      <c r="D204" s="16"/>
      <c r="E204" s="16"/>
      <c r="F204" s="2"/>
      <c r="G204" s="2"/>
      <c r="H204" s="2"/>
      <c r="I204" s="2"/>
      <c r="J204" s="2"/>
      <c r="K204" s="2"/>
      <c r="L204" s="2"/>
    </row>
    <row r="205" spans="1:12" ht="15.75" x14ac:dyDescent="0.25">
      <c r="A205" s="2"/>
      <c r="B205" s="2"/>
      <c r="C205" s="2"/>
      <c r="D205" s="16"/>
      <c r="E205" s="16"/>
      <c r="F205" s="2"/>
      <c r="G205" s="2"/>
      <c r="H205" s="2"/>
      <c r="I205" s="2"/>
      <c r="J205" s="2"/>
      <c r="K205" s="2"/>
      <c r="L205" s="2"/>
    </row>
    <row r="206" spans="1:12" ht="15.75" x14ac:dyDescent="0.25">
      <c r="A206" s="2"/>
      <c r="B206" s="2"/>
      <c r="C206" s="2"/>
      <c r="D206" s="16"/>
      <c r="E206" s="16"/>
      <c r="F206" s="2"/>
      <c r="G206" s="2"/>
      <c r="H206" s="2"/>
      <c r="I206" s="2"/>
      <c r="J206" s="2"/>
      <c r="K206" s="2"/>
      <c r="L206" s="2"/>
    </row>
    <row r="207" spans="1:12" ht="15.75" x14ac:dyDescent="0.25">
      <c r="A207" s="2"/>
      <c r="B207" s="2"/>
      <c r="C207" s="2"/>
      <c r="D207" s="16"/>
      <c r="E207" s="16"/>
      <c r="F207" s="2"/>
      <c r="G207" s="2"/>
      <c r="H207" s="2"/>
      <c r="I207" s="2"/>
      <c r="J207" s="2"/>
      <c r="K207" s="2"/>
      <c r="L207" s="2"/>
    </row>
    <row r="208" spans="1:12" ht="15.75" x14ac:dyDescent="0.25">
      <c r="A208" s="2"/>
      <c r="B208" s="2"/>
      <c r="C208" s="2"/>
      <c r="D208" s="16"/>
      <c r="E208" s="16"/>
      <c r="F208" s="2"/>
      <c r="G208" s="2"/>
      <c r="H208" s="2"/>
      <c r="I208" s="2"/>
      <c r="J208" s="2"/>
      <c r="K208" s="2"/>
      <c r="L208" s="2"/>
    </row>
    <row r="209" spans="1:12" ht="15.75" x14ac:dyDescent="0.25">
      <c r="A209" s="2"/>
      <c r="B209" s="2"/>
      <c r="C209" s="2"/>
      <c r="D209" s="16"/>
      <c r="E209" s="16"/>
      <c r="F209" s="2"/>
      <c r="G209" s="2"/>
      <c r="H209" s="2"/>
      <c r="I209" s="2"/>
      <c r="J209" s="2"/>
      <c r="K209" s="2"/>
      <c r="L209" s="2"/>
    </row>
  </sheetData>
  <mergeCells count="16">
    <mergeCell ref="A183:J183"/>
    <mergeCell ref="A2:J2"/>
    <mergeCell ref="A166:G166"/>
    <mergeCell ref="H166:J166"/>
    <mergeCell ref="I1:J1"/>
    <mergeCell ref="A110:G110"/>
    <mergeCell ref="A139:G139"/>
    <mergeCell ref="A163:G163"/>
    <mergeCell ref="A39:G39"/>
    <mergeCell ref="A16:G16"/>
    <mergeCell ref="A4:G4"/>
    <mergeCell ref="A153:G153"/>
    <mergeCell ref="A57:G57"/>
    <mergeCell ref="A96:G96"/>
    <mergeCell ref="A129:G129"/>
    <mergeCell ref="A157:G157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2024-03-08T09:18:24Z</dcterms:modified>
</cp:coreProperties>
</file>