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H134" i="1" l="1"/>
  <c r="F134" i="1"/>
  <c r="F155" i="1"/>
  <c r="H155" i="1" s="1"/>
  <c r="F216" i="1"/>
  <c r="F219" i="1"/>
  <c r="H219" i="1" s="1"/>
  <c r="F218" i="1"/>
  <c r="H218" i="1" s="1"/>
  <c r="F49" i="1"/>
  <c r="H49" i="1" s="1"/>
  <c r="F141" i="1"/>
  <c r="H141" i="1" s="1"/>
  <c r="F169" i="1"/>
  <c r="H169" i="1" s="1"/>
  <c r="F172" i="1"/>
  <c r="H172" i="1" s="1"/>
  <c r="F196" i="1"/>
  <c r="H196" i="1" s="1"/>
  <c r="F194" i="1"/>
  <c r="H194" i="1" s="1"/>
  <c r="F148" i="1"/>
  <c r="H148" i="1" s="1"/>
  <c r="H109" i="1"/>
  <c r="F52" i="1"/>
  <c r="H52" i="1" s="1"/>
  <c r="F35" i="1"/>
  <c r="I134" i="1" l="1"/>
  <c r="I155" i="1"/>
  <c r="H35" i="1"/>
  <c r="I35" i="1" s="1"/>
  <c r="H6" i="1"/>
  <c r="I6" i="1" s="1"/>
  <c r="H150" i="1"/>
  <c r="F150" i="1"/>
  <c r="H140" i="1"/>
  <c r="F140" i="1"/>
  <c r="H139" i="1"/>
  <c r="H138" i="1"/>
  <c r="H142" i="1"/>
  <c r="F199" i="1"/>
  <c r="H199" i="1" s="1"/>
  <c r="F147" i="1"/>
  <c r="H147" i="1" s="1"/>
  <c r="F83" i="1"/>
  <c r="H83" i="1" s="1"/>
  <c r="F111" i="1"/>
  <c r="I142" i="1" l="1"/>
  <c r="I148" i="1"/>
  <c r="I49" i="1"/>
  <c r="F227" i="1"/>
  <c r="H227" i="1" s="1"/>
  <c r="H68" i="1"/>
  <c r="I68" i="1" s="1"/>
  <c r="F67" i="1"/>
  <c r="F60" i="1"/>
  <c r="H60" i="1" s="1"/>
  <c r="F89" i="1"/>
  <c r="H89" i="1" s="1"/>
  <c r="F88" i="1"/>
  <c r="H88" i="1" s="1"/>
  <c r="F187" i="1"/>
  <c r="H187" i="1" s="1"/>
  <c r="F191" i="1"/>
  <c r="H191" i="1" s="1"/>
  <c r="F190" i="1"/>
  <c r="H190" i="1" s="1"/>
  <c r="F100" i="1"/>
  <c r="F99" i="1"/>
  <c r="H99" i="1" s="1"/>
  <c r="F54" i="1"/>
  <c r="H54" i="1" s="1"/>
  <c r="F86" i="1"/>
  <c r="F91" i="1"/>
  <c r="H91" i="1" s="1"/>
  <c r="F108" i="1"/>
  <c r="H108" i="1" s="1"/>
  <c r="F107" i="1"/>
  <c r="H107" i="1" s="1"/>
  <c r="F85" i="1"/>
  <c r="H85" i="1" s="1"/>
  <c r="I85" i="1" s="1"/>
  <c r="F84" i="1"/>
  <c r="H84" i="1" s="1"/>
  <c r="I83" i="1"/>
  <c r="F76" i="1"/>
  <c r="H76" i="1" s="1"/>
  <c r="F75" i="1"/>
  <c r="H75" i="1" s="1"/>
  <c r="H74" i="1"/>
  <c r="I74" i="1" s="1"/>
  <c r="F94" i="1"/>
  <c r="H94" i="1" s="1"/>
  <c r="F93" i="1"/>
  <c r="H93" i="1" s="1"/>
  <c r="F55" i="1"/>
  <c r="H55" i="1" s="1"/>
  <c r="I55" i="1" s="1"/>
  <c r="F34" i="1"/>
  <c r="H34" i="1" s="1"/>
  <c r="H33" i="1"/>
  <c r="I33" i="1" s="1"/>
  <c r="F32" i="1"/>
  <c r="H32" i="1" s="1"/>
  <c r="I32" i="1" l="1"/>
  <c r="I93" i="1"/>
  <c r="I84" i="1"/>
  <c r="I108" i="1"/>
  <c r="H86" i="1"/>
  <c r="I86" i="1" s="1"/>
  <c r="H100" i="1"/>
  <c r="I100" i="1" s="1"/>
  <c r="H67" i="1"/>
  <c r="I67" i="1" s="1"/>
  <c r="I34" i="1"/>
  <c r="I94" i="1"/>
  <c r="I76" i="1"/>
  <c r="I107" i="1"/>
  <c r="I91" i="1"/>
  <c r="I99" i="1"/>
  <c r="I60" i="1"/>
  <c r="I227" i="1"/>
  <c r="I75" i="1"/>
  <c r="H96" i="1"/>
  <c r="I96" i="1" s="1"/>
  <c r="F101" i="1"/>
  <c r="H101" i="1" s="1"/>
  <c r="H31" i="1"/>
  <c r="I31" i="1" s="1"/>
  <c r="I44" i="1"/>
  <c r="H44" i="1"/>
  <c r="I229" i="1"/>
  <c r="I228" i="1"/>
  <c r="I101" i="1" l="1"/>
  <c r="F171" i="1"/>
  <c r="H171" i="1" s="1"/>
  <c r="F174" i="1"/>
  <c r="H174" i="1" s="1"/>
  <c r="H111" i="1"/>
  <c r="I174" i="1" l="1"/>
  <c r="F225" i="1"/>
  <c r="H225" i="1" s="1"/>
  <c r="F106" i="1"/>
  <c r="H106" i="1" s="1"/>
  <c r="F95" i="1"/>
  <c r="H95" i="1" s="1"/>
  <c r="F63" i="1"/>
  <c r="H63" i="1" s="1"/>
  <c r="F23" i="1"/>
  <c r="H23" i="1" s="1"/>
  <c r="I54" i="1"/>
  <c r="F66" i="1"/>
  <c r="H66" i="1" s="1"/>
  <c r="F102" i="1"/>
  <c r="F192" i="1"/>
  <c r="H192" i="1" s="1"/>
  <c r="H188" i="1"/>
  <c r="I187" i="1"/>
  <c r="I191" i="1"/>
  <c r="I190" i="1"/>
  <c r="F170" i="1"/>
  <c r="H170" i="1" s="1"/>
  <c r="I225" i="1" l="1"/>
  <c r="H102" i="1"/>
  <c r="I102" i="1" s="1"/>
  <c r="I95" i="1"/>
  <c r="I66" i="1"/>
  <c r="I23" i="1"/>
  <c r="I106" i="1"/>
  <c r="I63" i="1"/>
  <c r="I188" i="1"/>
  <c r="I147" i="1"/>
  <c r="H71" i="1"/>
  <c r="I71" i="1" s="1"/>
  <c r="F70" i="1"/>
  <c r="H70" i="1" s="1"/>
  <c r="H82" i="1"/>
  <c r="I82" i="1" s="1"/>
  <c r="H81" i="1"/>
  <c r="I81" i="1" s="1"/>
  <c r="H87" i="1"/>
  <c r="H65" i="1"/>
  <c r="F64" i="1"/>
  <c r="H64" i="1" s="1"/>
  <c r="I89" i="1"/>
  <c r="I88" i="1"/>
  <c r="F212" i="1"/>
  <c r="H212" i="1" s="1"/>
  <c r="F210" i="1"/>
  <c r="H210" i="1" s="1"/>
  <c r="F211" i="1"/>
  <c r="H211" i="1" s="1"/>
  <c r="I211" i="1" s="1"/>
  <c r="H146" i="1"/>
  <c r="I150" i="1"/>
  <c r="F144" i="1"/>
  <c r="H144" i="1" s="1"/>
  <c r="F113" i="1"/>
  <c r="H113" i="1" s="1"/>
  <c r="F112" i="1"/>
  <c r="H112" i="1" s="1"/>
  <c r="I212" i="1" l="1"/>
  <c r="I113" i="1"/>
  <c r="I64" i="1"/>
  <c r="I70" i="1"/>
  <c r="I65" i="1"/>
  <c r="I210" i="1"/>
  <c r="H223" i="1"/>
  <c r="I223" i="1" s="1"/>
  <c r="H222" i="1"/>
  <c r="I222" i="1" s="1"/>
  <c r="H80" i="1"/>
  <c r="F80" i="1"/>
  <c r="F79" i="1"/>
  <c r="H79" i="1" s="1"/>
  <c r="F73" i="1"/>
  <c r="H73" i="1" s="1"/>
  <c r="H43" i="1"/>
  <c r="I43" i="1" s="1"/>
  <c r="F42" i="1"/>
  <c r="H42" i="1" s="1"/>
  <c r="F220" i="1"/>
  <c r="H220" i="1" s="1"/>
  <c r="F226" i="1"/>
  <c r="I226" i="1" s="1"/>
  <c r="I80" i="1" l="1"/>
  <c r="I73" i="1"/>
  <c r="I79" i="1"/>
  <c r="F173" i="1"/>
  <c r="H173" i="1" s="1"/>
  <c r="F145" i="1"/>
  <c r="H145" i="1" s="1"/>
  <c r="F110" i="1"/>
  <c r="H110" i="1" s="1"/>
  <c r="I173" i="1" l="1"/>
  <c r="I145" i="1"/>
  <c r="F221" i="1"/>
  <c r="H221" i="1" s="1"/>
  <c r="F41" i="1"/>
  <c r="H41" i="1" s="1"/>
  <c r="I41" i="1" l="1"/>
  <c r="I42" i="1"/>
  <c r="F186" i="1" l="1"/>
  <c r="H186" i="1" s="1"/>
  <c r="F161" i="1"/>
  <c r="H161" i="1" s="1"/>
  <c r="F165" i="1"/>
  <c r="H165" i="1" s="1"/>
  <c r="F158" i="1"/>
  <c r="H158" i="1" s="1"/>
  <c r="F157" i="1"/>
  <c r="H157" i="1" s="1"/>
  <c r="F156" i="1"/>
  <c r="H156" i="1" s="1"/>
  <c r="F127" i="1"/>
  <c r="H127" i="1" s="1"/>
  <c r="I165" i="1" l="1"/>
  <c r="I127" i="1"/>
  <c r="I156" i="1"/>
  <c r="I186" i="1"/>
  <c r="F19" i="1"/>
  <c r="H19" i="1" s="1"/>
  <c r="I19" i="1" s="1"/>
  <c r="F185" i="1"/>
  <c r="H185" i="1" s="1"/>
  <c r="F217" i="1"/>
  <c r="H62" i="1"/>
  <c r="H61" i="1"/>
  <c r="H59" i="1"/>
  <c r="H57" i="1"/>
  <c r="H58" i="1"/>
  <c r="H30" i="1"/>
  <c r="I30" i="1" s="1"/>
  <c r="H151" i="1"/>
  <c r="F143" i="1"/>
  <c r="H143" i="1" s="1"/>
  <c r="H137" i="1"/>
  <c r="I137" i="1" s="1"/>
  <c r="I216" i="1"/>
  <c r="H53" i="1"/>
  <c r="I53" i="1" s="1"/>
  <c r="I217" i="1"/>
  <c r="H48" i="1"/>
  <c r="I46" i="1" l="1"/>
  <c r="I112" i="1"/>
  <c r="I218" i="1"/>
  <c r="I219" i="1"/>
  <c r="I87" i="1" l="1"/>
  <c r="I221" i="1"/>
  <c r="I220" i="1"/>
  <c r="I230" i="1" s="1"/>
  <c r="I5" i="1"/>
  <c r="I17" i="1" s="1"/>
  <c r="I62" i="1"/>
  <c r="I61" i="1"/>
  <c r="I59" i="1"/>
  <c r="I58" i="1"/>
  <c r="I57" i="1"/>
  <c r="I170" i="1"/>
  <c r="I151" i="1"/>
  <c r="I138" i="1"/>
  <c r="I140" i="1"/>
  <c r="I139" i="1"/>
  <c r="I146" i="1"/>
  <c r="I141" i="1"/>
  <c r="I161" i="1"/>
  <c r="I158" i="1"/>
  <c r="I157" i="1"/>
  <c r="I167" i="1" s="1"/>
  <c r="I169" i="1"/>
  <c r="I111" i="1"/>
  <c r="I52" i="1" l="1"/>
  <c r="I192" i="1"/>
  <c r="I171" i="1"/>
  <c r="I143" i="1"/>
  <c r="I144" i="1"/>
  <c r="I153" i="1" s="1"/>
  <c r="I199" i="1" l="1"/>
  <c r="I48" i="1"/>
  <c r="I103" i="1" s="1"/>
  <c r="I231" i="1" l="1"/>
  <c r="I172" i="1"/>
  <c r="I180" i="1" s="1"/>
  <c r="I185" i="1"/>
  <c r="I196" i="1" l="1"/>
  <c r="I213" i="1"/>
  <c r="I214" i="1" s="1"/>
  <c r="I109" i="1" l="1"/>
  <c r="I110" i="1" l="1"/>
  <c r="I132" i="1" s="1"/>
  <c r="I194" i="1"/>
  <c r="I197" i="1" s="1"/>
  <c r="I203" i="1" l="1"/>
  <c r="I207" i="1" s="1"/>
  <c r="I200" i="1"/>
  <c r="I201" i="1" s="1"/>
  <c r="I232" i="1" s="1"/>
</calcChain>
</file>

<file path=xl/sharedStrings.xml><?xml version="1.0" encoding="utf-8"?>
<sst xmlns="http://schemas.openxmlformats.org/spreadsheetml/2006/main" count="860" uniqueCount="301">
  <si>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</si>
  <si>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</si>
  <si>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</si>
  <si>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</si>
  <si>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</si>
  <si>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</si>
  <si>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</si>
  <si>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</si>
  <si>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</si>
  <si>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</si>
  <si>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</si>
  <si>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</si>
  <si>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</si>
  <si>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</si>
  <si>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</si>
  <si>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</si>
  <si>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</si>
  <si>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</si>
  <si>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</si>
  <si>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</si>
  <si>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</si>
  <si>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</si>
  <si>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</si>
  <si>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</si>
  <si>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</si>
  <si>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</si>
  <si>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</si>
  <si>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</si>
  <si>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</si>
  <si>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</si>
  <si>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</si>
  <si>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</si>
  <si>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</si>
  <si>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</si>
  <si>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</si>
  <si>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</si>
  <si>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</si>
  <si>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</si>
  <si>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</si>
  <si>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</si>
  <si>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</si>
  <si>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</si>
  <si>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</si>
  <si>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</si>
  <si>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</si>
  <si>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</si>
  <si>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</si>
  <si>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</si>
  <si>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</si>
  <si>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</si>
  <si>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</si>
  <si>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</si>
  <si>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</si>
  <si>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</si>
  <si>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</si>
  <si>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</si>
  <si>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</si>
  <si>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</si>
  <si>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</si>
  <si>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</si>
  <si>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</si>
  <si>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</si>
  <si>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</si>
  <si>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</si>
  <si>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</si>
  <si>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</si>
  <si>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</si>
  <si>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</si>
  <si>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</si>
  <si>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</si>
  <si>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</si>
  <si>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</si>
  <si>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</si>
  <si>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</si>
  <si>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</si>
  <si>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</si>
  <si>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</si>
  <si>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</si>
  <si>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</si>
  <si>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</si>
  <si>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</si>
  <si>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</si>
  <si>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</si>
  <si>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</si>
  <si>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</si>
  <si>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</si>
  <si>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</si>
  <si>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</si>
  <si>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</si>
  <si>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</si>
  <si>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</si>
  <si>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</si>
  <si>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</si>
  <si>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</si>
  <si>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</si>
  <si>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</si>
  <si>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</si>
  <si>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</si>
  <si>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</si>
  <si>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</si>
  <si>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</si>
  <si>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</si>
  <si>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</si>
  <si>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</si>
  <si>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</si>
  <si>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</si>
  <si>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</si>
  <si>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</si>
  <si>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</si>
  <si>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</si>
  <si>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</si>
  <si>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</si>
  <si>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</si>
  <si>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</si>
  <si>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</si>
  <si>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</si>
  <si>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</si>
  <si>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</si>
  <si>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</si>
  <si>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</si>
  <si>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</si>
  <si>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</si>
  <si>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</si>
  <si>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</si>
  <si>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</si>
  <si>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</si>
  <si>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</si>
  <si>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</si>
  <si>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</si>
  <si>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</si>
  <si>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</si>
  <si>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</si>
  <si>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</si>
  <si>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</si>
  <si>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</si>
  <si>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</si>
  <si>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</si>
  <si>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</si>
  <si>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</si>
  <si>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</si>
  <si>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</si>
  <si>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</si>
  <si>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</si>
  <si>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</si>
  <si>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</si>
  <si>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</si>
  <si>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</si>
  <si>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</si>
  <si>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</si>
  <si>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</si>
  <si>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</si>
  <si>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</si>
  <si>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</si>
  <si>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</si>
  <si>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</si>
  <si>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</si>
  <si>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</si>
  <si>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</si>
  <si>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</si>
  <si>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</si>
  <si>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ремонт приемного клапана мусоропровода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</si>
  <si>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</si>
  <si>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</si>
  <si>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</si>
  <si>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</si>
  <si>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</si>
  <si>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</si>
  <si>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</si>
  <si>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</si>
  <si>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</si>
  <si>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</si>
  <si>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</si>
  <si>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</si>
  <si>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</si>
  <si>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</si>
  <si>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</si>
  <si>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</si>
  <si>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</si>
  <si>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</si>
  <si>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смена отдельных участков трубопроводов с заготовкой труб в построечных условиях диам. до 50мм</t>
  </si>
  <si>
    <t>установка уголков ПВХ на клее</t>
  </si>
  <si>
    <t>огрунтовка ранее окрашенных фасадов под окраску</t>
  </si>
  <si>
    <t>шпатлевка ранее окрашенных фасадов под окраску</t>
  </si>
  <si>
    <t>смена клапана впускного</t>
  </si>
  <si>
    <t>регулировка смывного бачка</t>
  </si>
  <si>
    <t>окраска водно-дисперсионными акриловыми составами улучшенная по штукатурке стен</t>
  </si>
  <si>
    <t>окраска маслнями сотавами ранее окрашенных больших металлических поверхностей(кроме крыш) за 2 раза</t>
  </si>
  <si>
    <t>ремонт и восстановление уплотнения стыков прокладками ПРП в 1 ряд в стенах, окнонных, дверных и балконных блоках насухо</t>
  </si>
  <si>
    <t xml:space="preserve"> смена кранов на шаровые краны диам.15,мм</t>
  </si>
  <si>
    <t>демонтаж кранов воздушных</t>
  </si>
  <si>
    <t>установка кранов воздушных</t>
  </si>
  <si>
    <t>окраска масляными составами ранее окрашенных поверхностей стальных труб за 2 раза</t>
  </si>
  <si>
    <t>смена выключателей</t>
  </si>
  <si>
    <t xml:space="preserve">простая масляная окраска ранее окрашенных бордюров </t>
  </si>
  <si>
    <t>герметизация трещин по фасаду кв 150, ремонт кровельного покрытия лоджии в 2 слоя</t>
  </si>
  <si>
    <t>1,4 квартал</t>
  </si>
  <si>
    <t>прочистка труб внутренней канализации диам 50-150мм установкой для прочистки труб простого засора</t>
  </si>
  <si>
    <t>смена внутренних трубопроводов из стальных труб диам. 32мм</t>
  </si>
  <si>
    <t>смена задвижки диам.150 на шаровый кран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</si>
  <si>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</si>
  <si>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</si>
  <si>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трубопроводов из полиэтиленовых труб диам. 50мм</t>
  </si>
  <si>
    <t>демонтаж оконных коробок в каменных стенах с отбивкой штукатурки в откосах</t>
  </si>
  <si>
    <t>снятие оконных переплетов остекленных</t>
  </si>
  <si>
    <t>установка в жилых зданиях оконных блоков из  ПВХ профилей поворотных с площадью проема до 2м2</t>
  </si>
  <si>
    <t>установка подооконных досок из ПВХ в панельных домах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</si>
  <si>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</si>
  <si>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12 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</si>
  <si>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</si>
  <si>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</si>
  <si>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1 квартал</t>
  </si>
  <si>
    <t>установка хомутов диаметром трубопроводов до 150мм</t>
  </si>
  <si>
    <t>ремонт и окраска дверей (восстановление фурнитуры и остекления) проушины</t>
  </si>
  <si>
    <t>установка дверного доводчика</t>
  </si>
  <si>
    <t>ремонт дверного доводчика</t>
  </si>
  <si>
    <t>врезка в действующие сети трубопроводов отопления и водоснабжения диам. 25мм</t>
  </si>
  <si>
    <t>смена вентилей и клапанов обратных муфтовых диаметром до 32мм на шаровые краны</t>
  </si>
  <si>
    <t>контейнер ТКО-0,4м3</t>
  </si>
  <si>
    <t>простая масляная окраска ранее окрашенных фасадов</t>
  </si>
  <si>
    <t>смена обделок из листовой стали</t>
  </si>
  <si>
    <t>м.п.</t>
  </si>
  <si>
    <t>установка элеваторов после прочистки</t>
  </si>
  <si>
    <t>установка фланцевых соединений на стальных трубопроводах диам. 50мм</t>
  </si>
  <si>
    <t>установка обратного клапана диам. 32мм</t>
  </si>
  <si>
    <t>ремонт межпанельных швов без вскрытия кв 21,33</t>
  </si>
  <si>
    <t>корчевка пней вручную</t>
  </si>
  <si>
    <t>смена внутренних трубопроводов из стальных труб диам до 100мм</t>
  </si>
  <si>
    <t>справка о техническом состоянии здания</t>
  </si>
  <si>
    <t>ремонт межпанельных швов со вскрытием и заменй утеплителя кв 21,140,168,220,251,163,167,67,119,38</t>
  </si>
  <si>
    <t>ремонт и восстановление герметизации стыков наружных стеновых панелей</t>
  </si>
  <si>
    <t>ремонт штукатурки откосов внутри здания по камню и бетону цементно-известковым раствором</t>
  </si>
  <si>
    <t>смена керамических коврово-мозаичных плиток в полах до 10шт</t>
  </si>
  <si>
    <t>заделка выбоин в полах цементных площадью до 0,25м2</t>
  </si>
  <si>
    <t xml:space="preserve"> мест</t>
  </si>
  <si>
    <t>рытье ям</t>
  </si>
  <si>
    <t>установка урн и скамеек</t>
  </si>
  <si>
    <t>установка шайб</t>
  </si>
  <si>
    <t>смена внутренних трубопроводов из стальных труб диам. 15мм</t>
  </si>
  <si>
    <t>смена вентилей и клапанов обратных муфтовых диаметром до 20мм на шаровые краны</t>
  </si>
  <si>
    <t>смена внутренних трубопроводов из стальных труб диам. до 80мм(после капремонта)</t>
  </si>
  <si>
    <t>замена шарового крана кв 340,97,22</t>
  </si>
  <si>
    <t>замена гибкой подводки кв 165,340,97,298,353,22</t>
  </si>
  <si>
    <t>замена диэлектрической муфты кв 22</t>
  </si>
  <si>
    <t>монтаж приемного клапана мусоропровода</t>
  </si>
  <si>
    <t>демонтаж приемного клапана мусоропровода</t>
  </si>
  <si>
    <t>смена стекол толщиной 4-6 мм при площади стекол до 1,0 м2</t>
  </si>
  <si>
    <t>смена стекол толщиной 4-6 мм при площади стекол до 0,5м2</t>
  </si>
  <si>
    <t>устройство металлических ограждений без поручней</t>
  </si>
  <si>
    <t>устройство металлических ограждений с поручнями из поливинилхлорида</t>
  </si>
  <si>
    <t>облицовка стен глухих(без проемов) по металлическому одинарному каркасу гипсокартонными листами</t>
  </si>
  <si>
    <t>демонтаж люминесцентных светильников</t>
  </si>
  <si>
    <t>монтаж светодиодных светильников</t>
  </si>
  <si>
    <t>монтаж короба пластмассового шириной до 40мм</t>
  </si>
  <si>
    <t>монтаж короба пластмассового шириной до 120 мм</t>
  </si>
  <si>
    <t>смена дверных приборов замки накладные</t>
  </si>
  <si>
    <t>установка подоконников ПВХ</t>
  </si>
  <si>
    <t>улучшенная масляная окраска ранее окрашенных фасадов с расчисткой старой краски до 10%</t>
  </si>
  <si>
    <t>смена стекол толщиной 4-6 мм при площади стекол до 0,25м2</t>
  </si>
  <si>
    <t>мест</t>
  </si>
  <si>
    <t>установка декоративного металлического экрана</t>
  </si>
  <si>
    <t>формовочная обрезка деревьев высотой более 5м</t>
  </si>
  <si>
    <t>дерева</t>
  </si>
  <si>
    <t>смена внутренних трубопроводов с заготовкой труб в построечных условиях диам. 80мм</t>
  </si>
  <si>
    <t>Экпертно-консультационные услуги по проверке правильности составления сметной документации на ремонт подъездов многоквартирного жилого дома</t>
  </si>
  <si>
    <t xml:space="preserve">Оказание услуг по осуществлению строительного контроля </t>
  </si>
  <si>
    <t>аренда автовышки подъезд №10 обследование квартиры на 2 этаже</t>
  </si>
  <si>
    <t>смена</t>
  </si>
  <si>
    <t>ремонт мягкого покрытия кровли 4 и 6 подъезд, ремонт балконов кв №69,70,286,287</t>
  </si>
  <si>
    <t>утепление квартиры №33</t>
  </si>
  <si>
    <t>установка почтовых ящиков</t>
  </si>
  <si>
    <t>секции</t>
  </si>
  <si>
    <t>заделка отверстий, гнезд и борозд в перекрытиях</t>
  </si>
  <si>
    <t>1м3 заделки</t>
  </si>
  <si>
    <t>окраска перхлорвиниловыми красками по подготовленной поверхности фасадов за 1 раз</t>
  </si>
  <si>
    <t>улучшенная окраска масляными составами по дереву заполнений дверных проемов</t>
  </si>
  <si>
    <t>очистка вручную поверхности потолков от перхлорвиниловых и масляных красок с земли и лесов</t>
  </si>
  <si>
    <t>окраска водно-дисперсионными акриловыми составами улучшенная по штукатурке потолков</t>
  </si>
  <si>
    <t>очистка вручную поверхности стен от перхлорвиниловых и масляных красок с земли и лесов</t>
  </si>
  <si>
    <t>улучшенная масляная окраска ранее окрашенных стен с расчисткой старой краски до 10%(сапожок)</t>
  </si>
  <si>
    <t>ремонт металлических лестничных решеток</t>
  </si>
  <si>
    <t>укрепление стоек металлических решеток ограждений</t>
  </si>
  <si>
    <t>окраска масляными составами ранее окрашенных металлических решеток и оград без рельефа за 2 раза</t>
  </si>
  <si>
    <t>простая масляная окраска ранее окрашенных стен с подготовкой и расчисткой старой краски до 10% (торцы лестничных маршей)</t>
  </si>
  <si>
    <t>окраска масляными составами ранее окрашенных поверхностей труб стальных за 2 раза</t>
  </si>
  <si>
    <t>окраска масляными составами ранее окрашенных металлических оконных переплетов и т.д.(карман мусоропровода)</t>
  </si>
  <si>
    <t>демонтаж почтовых ящиков</t>
  </si>
  <si>
    <t>установка ящиков почтовых</t>
  </si>
  <si>
    <t>изготовление и установка окон ПВХ п 8</t>
  </si>
  <si>
    <t>улучшенная масляная окраска ранее окрашенных стен за один раз с расчисткой старой краски до 10%(откосы)</t>
  </si>
  <si>
    <t>улучшенная окраска масляными составами по штукатурке стен</t>
  </si>
  <si>
    <t>погрузка при автомобилных перевозках мусора строительного с погрузкой вручную</t>
  </si>
  <si>
    <t>т</t>
  </si>
  <si>
    <t>смена внутренних трубопроводов из стальных труб диам. 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</si>
  <si>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</si>
  <si>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трубпроводов водоснабжения и отопления из полипропиленовых труб:диам. 25мм</t>
  </si>
  <si>
    <t>выполнение работ по закреплению отливов на парапетах и промазка герметиком</t>
  </si>
  <si>
    <t>экспертиза,вскрытие и смена альпиниста</t>
  </si>
  <si>
    <t>окраска масляными составами ранее окрашенных поверхностей радиатрово и ребристых труб отопления за 2 раза</t>
  </si>
  <si>
    <t>замена внутренних трубопроводов водоснабжения из стальных труб на многослойные металлполимерные трубы диаметром до 25мм</t>
  </si>
  <si>
    <t>3,4 квартал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</si>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</sst>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0" borderId="0" xfId="0" applyNumberFormat="1" applyFont="1"/>
    <xf numFmtId="165" fontId="3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9"/>
  <sheetViews>
    <sheetView tabSelected="1" topLeftCell="D229" zoomScale="91" zoomScaleNormal="91" workbookViewId="0">
      <selection activeCell="I232" sqref="I23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9.42578125" style="1" bestFit="1" customWidth="1"/>
    <col min="12" max="16384" width="8.85546875" style="1"/>
  </cols>
  <sheetData>
    <row r="1" spans="1:12" ht="51.75" customHeight="1" x14ac:dyDescent="0.25">
      <c r="I1" s="73" t="s">
        <v>96</v>
      </c>
      <c r="J1" s="73"/>
    </row>
    <row r="2" spans="1:12" ht="70.5" customHeight="1" x14ac:dyDescent="0.25">
      <c r="A2" s="68" t="s">
        <v>207</v>
      </c>
      <c r="B2" s="69"/>
      <c r="C2" s="69"/>
      <c r="D2" s="69"/>
      <c r="E2" s="69"/>
      <c r="F2" s="69"/>
      <c r="G2" s="69"/>
      <c r="H2" s="69"/>
      <c r="I2" s="69"/>
      <c r="J2" s="69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74" t="s">
        <v>87</v>
      </c>
      <c r="B4" s="75"/>
      <c r="C4" s="75"/>
      <c r="D4" s="75"/>
      <c r="E4" s="75"/>
      <c r="F4" s="75"/>
      <c r="G4" s="76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267</v>
      </c>
      <c r="E5" s="41"/>
      <c r="F5" s="41">
        <v>1</v>
      </c>
      <c r="G5" s="13" t="s">
        <v>143</v>
      </c>
      <c r="H5" s="41">
        <v>645325</v>
      </c>
      <c r="I5" s="58">
        <f>F5*H5</f>
        <v>645325</v>
      </c>
      <c r="J5" s="13" t="s">
        <v>117</v>
      </c>
      <c r="K5" s="2"/>
      <c r="L5" s="2"/>
    </row>
    <row r="6" spans="1:12" ht="32.25" x14ac:dyDescent="0.3">
      <c r="A6" s="6"/>
      <c r="B6" s="5"/>
      <c r="C6" s="4"/>
      <c r="D6" s="15" t="s">
        <v>295</v>
      </c>
      <c r="E6" s="41"/>
      <c r="F6" s="41">
        <v>1</v>
      </c>
      <c r="G6" s="13" t="s">
        <v>143</v>
      </c>
      <c r="H6" s="41">
        <f>5502.4/F6</f>
        <v>5502.4</v>
      </c>
      <c r="I6" s="58">
        <f>F6*H6</f>
        <v>5502.4</v>
      </c>
      <c r="J6" s="13" t="s">
        <v>120</v>
      </c>
      <c r="K6" s="2"/>
      <c r="L6" s="2"/>
    </row>
    <row r="7" spans="1:12" ht="18.75" x14ac:dyDescent="0.3">
      <c r="A7" s="6"/>
      <c r="B7" s="5"/>
      <c r="C7" s="4"/>
      <c r="D7" s="15" t="s">
        <v>119</v>
      </c>
      <c r="E7" s="41"/>
      <c r="F7" s="41"/>
      <c r="G7" s="13" t="s">
        <v>112</v>
      </c>
      <c r="H7" s="41"/>
      <c r="I7" s="41"/>
      <c r="J7" s="13"/>
      <c r="K7" s="2"/>
      <c r="L7" s="2"/>
    </row>
    <row r="8" spans="1:12" ht="32.25" x14ac:dyDescent="0.3">
      <c r="A8" s="6"/>
      <c r="B8" s="5"/>
      <c r="C8" s="4"/>
      <c r="D8" s="15" t="s">
        <v>194</v>
      </c>
      <c r="E8" s="41" t="s">
        <v>139</v>
      </c>
      <c r="F8" s="41" t="s">
        <v>139</v>
      </c>
      <c r="G8" s="13" t="s">
        <v>112</v>
      </c>
      <c r="H8" s="41" t="s">
        <v>139</v>
      </c>
      <c r="I8" s="41" t="s">
        <v>139</v>
      </c>
      <c r="J8" s="13"/>
      <c r="K8" s="2"/>
      <c r="L8" s="2"/>
    </row>
    <row r="9" spans="1:12" ht="35.25" customHeight="1" x14ac:dyDescent="0.3">
      <c r="A9" s="6" t="s">
        <v>1</v>
      </c>
      <c r="B9" s="5"/>
      <c r="C9" s="4"/>
      <c r="D9" s="15" t="s">
        <v>155</v>
      </c>
      <c r="E9" s="41" t="s">
        <v>139</v>
      </c>
      <c r="F9" s="41" t="s">
        <v>139</v>
      </c>
      <c r="G9" s="13" t="s">
        <v>30</v>
      </c>
      <c r="H9" s="41" t="s">
        <v>139</v>
      </c>
      <c r="I9" s="41" t="s">
        <v>139</v>
      </c>
      <c r="J9" s="13"/>
      <c r="K9" s="2"/>
      <c r="L9" s="2"/>
    </row>
    <row r="10" spans="1:12" ht="28.5" customHeight="1" x14ac:dyDescent="0.3">
      <c r="A10" s="6" t="s">
        <v>2</v>
      </c>
      <c r="B10" s="5"/>
      <c r="C10" s="4"/>
      <c r="D10" s="15" t="s">
        <v>38</v>
      </c>
      <c r="E10" s="41" t="s">
        <v>139</v>
      </c>
      <c r="F10" s="41" t="s">
        <v>139</v>
      </c>
      <c r="G10" s="13" t="s">
        <v>30</v>
      </c>
      <c r="H10" s="41" t="s">
        <v>139</v>
      </c>
      <c r="I10" s="41" t="s">
        <v>139</v>
      </c>
      <c r="J10" s="13"/>
      <c r="K10" s="2"/>
      <c r="L10" s="2"/>
    </row>
    <row r="11" spans="1:12" ht="18.75" x14ac:dyDescent="0.3">
      <c r="A11" s="7" t="s">
        <v>3</v>
      </c>
      <c r="B11" s="5"/>
      <c r="C11" s="4"/>
      <c r="D11" s="15" t="s">
        <v>37</v>
      </c>
      <c r="E11" s="41" t="s">
        <v>139</v>
      </c>
      <c r="F11" s="41" t="s">
        <v>139</v>
      </c>
      <c r="G11" s="13" t="s">
        <v>30</v>
      </c>
      <c r="H11" s="41" t="s">
        <v>139</v>
      </c>
      <c r="I11" s="41" t="s">
        <v>139</v>
      </c>
      <c r="J11" s="13"/>
      <c r="K11" s="2"/>
      <c r="L11" s="2"/>
    </row>
    <row r="12" spans="1:12" ht="32.25" x14ac:dyDescent="0.3">
      <c r="A12" s="6" t="s">
        <v>4</v>
      </c>
      <c r="B12" s="5"/>
      <c r="C12" s="4"/>
      <c r="D12" s="15" t="s">
        <v>36</v>
      </c>
      <c r="E12" s="41" t="s">
        <v>139</v>
      </c>
      <c r="F12" s="41" t="s">
        <v>139</v>
      </c>
      <c r="G12" s="13" t="s">
        <v>30</v>
      </c>
      <c r="H12" s="41" t="s">
        <v>139</v>
      </c>
      <c r="I12" s="41" t="s">
        <v>139</v>
      </c>
      <c r="J12" s="13"/>
      <c r="K12" s="2"/>
      <c r="L12" s="2"/>
    </row>
    <row r="13" spans="1:12" ht="18.75" x14ac:dyDescent="0.3">
      <c r="A13" s="6" t="s">
        <v>5</v>
      </c>
      <c r="B13" s="5"/>
      <c r="C13" s="4"/>
      <c r="D13" s="4" t="s">
        <v>86</v>
      </c>
      <c r="E13" s="41" t="s">
        <v>139</v>
      </c>
      <c r="F13" s="41" t="s">
        <v>139</v>
      </c>
      <c r="G13" s="13" t="s">
        <v>31</v>
      </c>
      <c r="H13" s="41" t="s">
        <v>139</v>
      </c>
      <c r="I13" s="41" t="s">
        <v>139</v>
      </c>
      <c r="J13" s="13"/>
      <c r="K13" s="2"/>
      <c r="L13" s="2"/>
    </row>
    <row r="14" spans="1:12" ht="37.5" x14ac:dyDescent="0.3">
      <c r="A14" s="6" t="s">
        <v>6</v>
      </c>
      <c r="B14" s="5"/>
      <c r="C14" s="4"/>
      <c r="D14" s="4" t="s">
        <v>35</v>
      </c>
      <c r="E14" s="41" t="s">
        <v>139</v>
      </c>
      <c r="F14" s="41" t="s">
        <v>139</v>
      </c>
      <c r="G14" s="14" t="s">
        <v>31</v>
      </c>
      <c r="H14" s="41" t="s">
        <v>139</v>
      </c>
      <c r="I14" s="41" t="s">
        <v>139</v>
      </c>
      <c r="J14" s="13"/>
      <c r="K14" s="2"/>
      <c r="L14" s="2"/>
    </row>
    <row r="15" spans="1:12" ht="32.25" x14ac:dyDescent="0.3">
      <c r="A15" s="6" t="s">
        <v>63</v>
      </c>
      <c r="B15" s="5"/>
      <c r="C15" s="4"/>
      <c r="D15" s="15" t="s">
        <v>52</v>
      </c>
      <c r="E15" s="41" t="s">
        <v>139</v>
      </c>
      <c r="F15" s="41" t="s">
        <v>139</v>
      </c>
      <c r="G15" s="13" t="s">
        <v>30</v>
      </c>
      <c r="H15" s="41" t="s">
        <v>139</v>
      </c>
      <c r="I15" s="41" t="s">
        <v>139</v>
      </c>
      <c r="J15" s="13"/>
      <c r="L15" s="2"/>
    </row>
    <row r="16" spans="1:12" ht="27" customHeight="1" x14ac:dyDescent="0.3">
      <c r="A16" s="6" t="s">
        <v>7</v>
      </c>
      <c r="B16" s="5"/>
      <c r="C16" s="4"/>
      <c r="D16" s="15" t="s">
        <v>34</v>
      </c>
      <c r="E16" s="41" t="s">
        <v>139</v>
      </c>
      <c r="F16" s="41" t="s">
        <v>139</v>
      </c>
      <c r="G16" s="13" t="s">
        <v>30</v>
      </c>
      <c r="H16" s="41" t="s">
        <v>139</v>
      </c>
      <c r="I16" s="41" t="s">
        <v>139</v>
      </c>
      <c r="J16" s="13"/>
      <c r="K16" s="2"/>
      <c r="L16" s="2"/>
    </row>
    <row r="17" spans="1:12" ht="27" customHeight="1" x14ac:dyDescent="0.3">
      <c r="A17" s="28"/>
      <c r="B17" s="22"/>
      <c r="C17" s="22"/>
      <c r="D17" s="30"/>
      <c r="E17" s="46"/>
      <c r="F17" s="46"/>
      <c r="G17" s="31"/>
      <c r="H17" s="41"/>
      <c r="I17" s="41">
        <f>SUM(I5:I16)</f>
        <v>650827.4</v>
      </c>
      <c r="J17" s="13"/>
      <c r="K17" s="2"/>
      <c r="L17" s="2"/>
    </row>
    <row r="18" spans="1:12" ht="18.75" x14ac:dyDescent="0.3">
      <c r="A18" s="74" t="s">
        <v>56</v>
      </c>
      <c r="B18" s="75"/>
      <c r="C18" s="75"/>
      <c r="D18" s="75"/>
      <c r="E18" s="75"/>
      <c r="F18" s="75"/>
      <c r="G18" s="76"/>
      <c r="H18" s="14"/>
      <c r="I18" s="5"/>
      <c r="J18" s="13"/>
      <c r="L18" s="2"/>
    </row>
    <row r="19" spans="1:12" ht="18.75" x14ac:dyDescent="0.3">
      <c r="A19" s="6" t="s">
        <v>19</v>
      </c>
      <c r="B19" s="5"/>
      <c r="C19" s="4"/>
      <c r="D19" s="4" t="s">
        <v>95</v>
      </c>
      <c r="E19" s="41" t="s">
        <v>139</v>
      </c>
      <c r="F19" s="41">
        <f>1</f>
        <v>1</v>
      </c>
      <c r="G19" s="14" t="s">
        <v>54</v>
      </c>
      <c r="H19" s="41">
        <f>486/F19</f>
        <v>486</v>
      </c>
      <c r="I19" s="58">
        <f>F19*H19</f>
        <v>486</v>
      </c>
      <c r="J19" s="13" t="s">
        <v>210</v>
      </c>
      <c r="L19" s="2"/>
    </row>
    <row r="20" spans="1:12" ht="18.75" x14ac:dyDescent="0.3">
      <c r="A20" s="6" t="s">
        <v>13</v>
      </c>
      <c r="B20" s="5"/>
      <c r="C20" s="4"/>
      <c r="D20" s="4" t="s">
        <v>41</v>
      </c>
      <c r="E20" s="41" t="s">
        <v>139</v>
      </c>
      <c r="F20" s="41" t="s">
        <v>139</v>
      </c>
      <c r="G20" s="14" t="s">
        <v>53</v>
      </c>
      <c r="H20" s="41" t="s">
        <v>139</v>
      </c>
      <c r="I20" s="41" t="s">
        <v>139</v>
      </c>
      <c r="J20" s="13"/>
      <c r="L20" s="2"/>
    </row>
    <row r="21" spans="1:12" ht="32.25" x14ac:dyDescent="0.3">
      <c r="A21" s="6" t="s">
        <v>9</v>
      </c>
      <c r="B21" s="5"/>
      <c r="C21" s="4"/>
      <c r="D21" s="15" t="s">
        <v>181</v>
      </c>
      <c r="E21" s="41" t="s">
        <v>139</v>
      </c>
      <c r="F21" s="41" t="s">
        <v>139</v>
      </c>
      <c r="G21" s="13" t="s">
        <v>53</v>
      </c>
      <c r="H21" s="41" t="s">
        <v>139</v>
      </c>
      <c r="I21" s="41" t="s">
        <v>139</v>
      </c>
      <c r="J21" s="13"/>
      <c r="K21" s="2"/>
      <c r="L21" s="2"/>
    </row>
    <row r="22" spans="1:12" ht="32.25" x14ac:dyDescent="0.3">
      <c r="A22" s="6"/>
      <c r="B22" s="5"/>
      <c r="C22" s="4"/>
      <c r="D22" s="15" t="s">
        <v>182</v>
      </c>
      <c r="E22" s="41" t="s">
        <v>139</v>
      </c>
      <c r="F22" s="41" t="s">
        <v>139</v>
      </c>
      <c r="G22" s="13" t="s">
        <v>112</v>
      </c>
      <c r="H22" s="41" t="s">
        <v>139</v>
      </c>
      <c r="I22" s="41" t="s">
        <v>139</v>
      </c>
      <c r="J22" s="13"/>
      <c r="K22" s="2"/>
      <c r="L22" s="2"/>
    </row>
    <row r="23" spans="1:12" ht="48" x14ac:dyDescent="0.3">
      <c r="A23" s="6"/>
      <c r="B23" s="5"/>
      <c r="C23" s="4"/>
      <c r="D23" s="15" t="s">
        <v>256</v>
      </c>
      <c r="E23" s="41" t="s">
        <v>139</v>
      </c>
      <c r="F23" s="41">
        <f>19.2</f>
        <v>19.2</v>
      </c>
      <c r="G23" s="13" t="s">
        <v>112</v>
      </c>
      <c r="H23" s="45">
        <f>6463/F23</f>
        <v>336.61458333333337</v>
      </c>
      <c r="I23" s="58">
        <f>F23*H23</f>
        <v>6463.0000000000009</v>
      </c>
      <c r="J23" s="13"/>
      <c r="K23" s="2"/>
      <c r="L23" s="2"/>
    </row>
    <row r="24" spans="1:12" ht="32.25" x14ac:dyDescent="0.3">
      <c r="A24" s="6"/>
      <c r="B24" s="5"/>
      <c r="C24" s="4"/>
      <c r="D24" s="15" t="s">
        <v>167</v>
      </c>
      <c r="E24" s="41" t="s">
        <v>139</v>
      </c>
      <c r="F24" s="41" t="s">
        <v>139</v>
      </c>
      <c r="G24" s="13" t="s">
        <v>89</v>
      </c>
      <c r="H24" s="41" t="s">
        <v>139</v>
      </c>
      <c r="I24" s="41" t="s">
        <v>139</v>
      </c>
      <c r="J24" s="13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1" t="s">
        <v>139</v>
      </c>
      <c r="F25" s="41" t="s">
        <v>139</v>
      </c>
      <c r="G25" s="14" t="s">
        <v>53</v>
      </c>
      <c r="H25" s="41" t="s">
        <v>139</v>
      </c>
      <c r="I25" s="41" t="s">
        <v>139</v>
      </c>
      <c r="J25" s="13"/>
      <c r="K25" s="2"/>
      <c r="L25" s="2"/>
    </row>
    <row r="26" spans="1:12" ht="18.75" x14ac:dyDescent="0.3">
      <c r="A26" s="6" t="s">
        <v>11</v>
      </c>
      <c r="B26" s="5"/>
      <c r="C26" s="4"/>
      <c r="D26" s="4" t="s">
        <v>39</v>
      </c>
      <c r="E26" s="41" t="s">
        <v>139</v>
      </c>
      <c r="F26" s="41" t="s">
        <v>139</v>
      </c>
      <c r="G26" s="14" t="s">
        <v>53</v>
      </c>
      <c r="H26" s="41" t="s">
        <v>139</v>
      </c>
      <c r="I26" s="41" t="s">
        <v>139</v>
      </c>
      <c r="J26" s="13"/>
      <c r="K26" s="2"/>
      <c r="L26" s="2"/>
    </row>
    <row r="27" spans="1:12" ht="18.75" x14ac:dyDescent="0.3">
      <c r="A27" s="6"/>
      <c r="B27" s="5"/>
      <c r="C27" s="4"/>
      <c r="D27" s="4" t="s">
        <v>147</v>
      </c>
      <c r="E27" s="41" t="s">
        <v>139</v>
      </c>
      <c r="F27" s="41" t="s">
        <v>139</v>
      </c>
      <c r="G27" s="14" t="s">
        <v>148</v>
      </c>
      <c r="H27" s="41" t="s">
        <v>139</v>
      </c>
      <c r="I27" s="41" t="s">
        <v>139</v>
      </c>
      <c r="J27" s="13"/>
      <c r="K27" s="2"/>
      <c r="L27" s="2"/>
    </row>
    <row r="28" spans="1:12" ht="18.75" x14ac:dyDescent="0.3">
      <c r="A28" s="6" t="s">
        <v>8</v>
      </c>
      <c r="B28" s="5"/>
      <c r="C28" s="4"/>
      <c r="D28" s="4" t="s">
        <v>32</v>
      </c>
      <c r="E28" s="41" t="s">
        <v>139</v>
      </c>
      <c r="F28" s="41" t="s">
        <v>139</v>
      </c>
      <c r="G28" s="13" t="s">
        <v>30</v>
      </c>
      <c r="H28" s="41" t="s">
        <v>139</v>
      </c>
      <c r="I28" s="41" t="s">
        <v>139</v>
      </c>
      <c r="J28" s="13"/>
      <c r="K28" s="2"/>
      <c r="L28" s="2"/>
    </row>
    <row r="29" spans="1:12" ht="24.75" customHeight="1" x14ac:dyDescent="0.3">
      <c r="A29" s="6" t="s">
        <v>12</v>
      </c>
      <c r="B29" s="5"/>
      <c r="C29" s="4"/>
      <c r="D29" s="15" t="s">
        <v>40</v>
      </c>
      <c r="E29" s="41" t="s">
        <v>139</v>
      </c>
      <c r="F29" s="41" t="s">
        <v>139</v>
      </c>
      <c r="G29" s="14" t="s">
        <v>53</v>
      </c>
      <c r="H29" s="41" t="s">
        <v>139</v>
      </c>
      <c r="I29" s="41" t="s">
        <v>139</v>
      </c>
      <c r="J29" s="13"/>
      <c r="K29" s="2"/>
      <c r="L29" s="2"/>
    </row>
    <row r="30" spans="1:12" ht="32.25" x14ac:dyDescent="0.3">
      <c r="A30" s="6" t="s">
        <v>55</v>
      </c>
      <c r="B30" s="5"/>
      <c r="C30" s="4"/>
      <c r="D30" s="15" t="s">
        <v>218</v>
      </c>
      <c r="E30" s="41"/>
      <c r="F30" s="41">
        <v>5</v>
      </c>
      <c r="G30" s="14" t="s">
        <v>112</v>
      </c>
      <c r="H30" s="41">
        <f>679.8/F30</f>
        <v>135.95999999999998</v>
      </c>
      <c r="I30" s="58">
        <f t="shared" ref="I30:I34" si="0">F30*H30</f>
        <v>679.8</v>
      </c>
      <c r="J30" s="13" t="s">
        <v>210</v>
      </c>
      <c r="L30" s="2"/>
    </row>
    <row r="31" spans="1:12" ht="18.75" x14ac:dyDescent="0.3">
      <c r="A31" s="6"/>
      <c r="B31" s="5"/>
      <c r="C31" s="4"/>
      <c r="D31" s="15" t="s">
        <v>268</v>
      </c>
      <c r="E31" s="41"/>
      <c r="F31" s="41">
        <v>100.8</v>
      </c>
      <c r="G31" s="14" t="s">
        <v>112</v>
      </c>
      <c r="H31" s="41">
        <f>383040/F31</f>
        <v>3800</v>
      </c>
      <c r="I31" s="58">
        <f t="shared" si="0"/>
        <v>383040</v>
      </c>
      <c r="J31" s="13" t="s">
        <v>120</v>
      </c>
      <c r="L31" s="2"/>
    </row>
    <row r="32" spans="1:12" ht="32.25" x14ac:dyDescent="0.3">
      <c r="A32" s="6"/>
      <c r="B32" s="5"/>
      <c r="C32" s="4"/>
      <c r="D32" s="15" t="s">
        <v>167</v>
      </c>
      <c r="E32" s="41"/>
      <c r="F32" s="41">
        <f>1.5</f>
        <v>1.5</v>
      </c>
      <c r="G32" s="14" t="s">
        <v>112</v>
      </c>
      <c r="H32" s="41">
        <f>3457.2/F32</f>
        <v>2304.7999999999997</v>
      </c>
      <c r="I32" s="58">
        <f t="shared" si="0"/>
        <v>3457.2</v>
      </c>
      <c r="J32" s="13" t="s">
        <v>120</v>
      </c>
      <c r="L32" s="2"/>
    </row>
    <row r="33" spans="1:12" ht="32.25" x14ac:dyDescent="0.3">
      <c r="A33" s="6"/>
      <c r="B33" s="5"/>
      <c r="C33" s="4"/>
      <c r="D33" s="15" t="s">
        <v>181</v>
      </c>
      <c r="E33" s="41"/>
      <c r="F33" s="41">
        <v>19.399999999999999</v>
      </c>
      <c r="G33" s="14" t="s">
        <v>112</v>
      </c>
      <c r="H33" s="45">
        <f>1924.2/F33</f>
        <v>99.185567010309285</v>
      </c>
      <c r="I33" s="58">
        <f t="shared" si="0"/>
        <v>1924.2</v>
      </c>
      <c r="J33" s="13" t="s">
        <v>120</v>
      </c>
      <c r="L33" s="2"/>
    </row>
    <row r="34" spans="1:12" ht="32.25" x14ac:dyDescent="0.3">
      <c r="A34" s="6"/>
      <c r="B34" s="5"/>
      <c r="C34" s="4"/>
      <c r="D34" s="15" t="s">
        <v>273</v>
      </c>
      <c r="E34" s="41"/>
      <c r="F34" s="41">
        <f>19.4</f>
        <v>19.399999999999999</v>
      </c>
      <c r="G34" s="14" t="s">
        <v>112</v>
      </c>
      <c r="H34" s="45">
        <f>2759/F34</f>
        <v>142.21649484536084</v>
      </c>
      <c r="I34" s="58">
        <f t="shared" si="0"/>
        <v>2759</v>
      </c>
      <c r="J34" s="13" t="s">
        <v>120</v>
      </c>
      <c r="L34" s="2"/>
    </row>
    <row r="35" spans="1:12" ht="18.75" x14ac:dyDescent="0.3">
      <c r="A35" s="6"/>
      <c r="B35" s="5"/>
      <c r="C35" s="4"/>
      <c r="D35" s="15" t="s">
        <v>296</v>
      </c>
      <c r="E35" s="41"/>
      <c r="F35" s="41">
        <f>1</f>
        <v>1</v>
      </c>
      <c r="G35" s="14" t="s">
        <v>143</v>
      </c>
      <c r="H35" s="45">
        <f>10000/F35</f>
        <v>10000</v>
      </c>
      <c r="I35" s="58">
        <f>F35*H35</f>
        <v>10000</v>
      </c>
      <c r="J35" s="13" t="s">
        <v>120</v>
      </c>
      <c r="L35" s="2"/>
    </row>
    <row r="36" spans="1:12" ht="32.25" x14ac:dyDescent="0.3">
      <c r="A36" s="6" t="s">
        <v>57</v>
      </c>
      <c r="B36" s="5"/>
      <c r="C36" s="4"/>
      <c r="D36" s="15" t="s">
        <v>94</v>
      </c>
      <c r="E36" s="41" t="s">
        <v>139</v>
      </c>
      <c r="F36" s="41" t="s">
        <v>139</v>
      </c>
      <c r="G36" s="14" t="s">
        <v>53</v>
      </c>
      <c r="H36" s="41" t="s">
        <v>139</v>
      </c>
      <c r="I36" s="41" t="s">
        <v>139</v>
      </c>
      <c r="J36" s="13"/>
      <c r="L36" s="2"/>
    </row>
    <row r="37" spans="1:12" ht="32.25" x14ac:dyDescent="0.3">
      <c r="A37" s="6" t="s">
        <v>14</v>
      </c>
      <c r="B37" s="5"/>
      <c r="C37" s="4"/>
      <c r="D37" s="15" t="s">
        <v>93</v>
      </c>
      <c r="E37" s="41" t="s">
        <v>139</v>
      </c>
      <c r="F37" s="41" t="s">
        <v>139</v>
      </c>
      <c r="G37" s="14" t="s">
        <v>54</v>
      </c>
      <c r="H37" s="41" t="s">
        <v>139</v>
      </c>
      <c r="I37" s="41" t="s">
        <v>139</v>
      </c>
      <c r="J37" s="13"/>
      <c r="L37" s="2"/>
    </row>
    <row r="38" spans="1:12" ht="18.75" x14ac:dyDescent="0.3">
      <c r="A38" s="6" t="s">
        <v>15</v>
      </c>
      <c r="B38" s="5"/>
      <c r="C38" s="4"/>
      <c r="D38" s="4" t="s">
        <v>42</v>
      </c>
      <c r="E38" s="41" t="s">
        <v>139</v>
      </c>
      <c r="F38" s="41" t="s">
        <v>139</v>
      </c>
      <c r="G38" s="14" t="s">
        <v>54</v>
      </c>
      <c r="H38" s="41" t="s">
        <v>139</v>
      </c>
      <c r="I38" s="41" t="s">
        <v>139</v>
      </c>
      <c r="J38" s="13"/>
      <c r="L38" s="2"/>
    </row>
    <row r="39" spans="1:12" ht="18.75" x14ac:dyDescent="0.3">
      <c r="A39" s="6" t="s">
        <v>16</v>
      </c>
      <c r="B39" s="5"/>
      <c r="C39" s="4"/>
      <c r="D39" s="4" t="s">
        <v>43</v>
      </c>
      <c r="E39" s="41" t="s">
        <v>139</v>
      </c>
      <c r="F39" s="41" t="s">
        <v>139</v>
      </c>
      <c r="G39" s="14" t="s">
        <v>53</v>
      </c>
      <c r="H39" s="41" t="s">
        <v>139</v>
      </c>
      <c r="I39" s="41" t="s">
        <v>139</v>
      </c>
      <c r="J39" s="13"/>
      <c r="L39" s="2"/>
    </row>
    <row r="40" spans="1:12" ht="18.75" x14ac:dyDescent="0.3">
      <c r="A40" s="6" t="s">
        <v>17</v>
      </c>
      <c r="B40" s="5"/>
      <c r="C40" s="4"/>
      <c r="D40" s="4" t="s">
        <v>44</v>
      </c>
      <c r="E40" s="41" t="s">
        <v>139</v>
      </c>
      <c r="F40" s="41" t="s">
        <v>139</v>
      </c>
      <c r="G40" s="13" t="s">
        <v>30</v>
      </c>
      <c r="H40" s="41" t="s">
        <v>139</v>
      </c>
      <c r="I40" s="41" t="s">
        <v>139</v>
      </c>
      <c r="J40" s="13"/>
      <c r="L40" s="2"/>
    </row>
    <row r="41" spans="1:12" ht="32.25" x14ac:dyDescent="0.3">
      <c r="A41" s="6"/>
      <c r="B41" s="5"/>
      <c r="C41" s="4"/>
      <c r="D41" s="15" t="s">
        <v>224</v>
      </c>
      <c r="E41" s="41"/>
      <c r="F41" s="41">
        <f>62</f>
        <v>62</v>
      </c>
      <c r="G41" s="14" t="s">
        <v>30</v>
      </c>
      <c r="H41" s="41">
        <f>26598/F41</f>
        <v>429</v>
      </c>
      <c r="I41" s="58">
        <f>F41*H41</f>
        <v>26598</v>
      </c>
      <c r="J41" s="13" t="s">
        <v>122</v>
      </c>
      <c r="L41" s="2"/>
    </row>
    <row r="42" spans="1:12" ht="48" x14ac:dyDescent="0.3">
      <c r="A42" s="6"/>
      <c r="B42" s="5"/>
      <c r="C42" s="4"/>
      <c r="D42" s="15" t="s">
        <v>228</v>
      </c>
      <c r="E42" s="41"/>
      <c r="F42" s="41">
        <f>36+377.5</f>
        <v>413.5</v>
      </c>
      <c r="G42" s="14" t="s">
        <v>30</v>
      </c>
      <c r="H42" s="45">
        <f>(24840+245469)/F42</f>
        <v>653.70979443772671</v>
      </c>
      <c r="I42" s="58">
        <f>F42*H42</f>
        <v>270309</v>
      </c>
      <c r="J42" s="13" t="s">
        <v>122</v>
      </c>
      <c r="L42" s="2"/>
    </row>
    <row r="43" spans="1:12" ht="32.25" x14ac:dyDescent="0.3">
      <c r="A43" s="6"/>
      <c r="B43" s="5"/>
      <c r="C43" s="4"/>
      <c r="D43" s="15" t="s">
        <v>229</v>
      </c>
      <c r="E43" s="41"/>
      <c r="F43" s="41">
        <v>6</v>
      </c>
      <c r="G43" s="14" t="s">
        <v>30</v>
      </c>
      <c r="H43" s="45">
        <f>3999/F43</f>
        <v>666.5</v>
      </c>
      <c r="I43" s="58">
        <f>F43*H43</f>
        <v>3999</v>
      </c>
      <c r="J43" s="13" t="s">
        <v>122</v>
      </c>
      <c r="L43" s="2"/>
    </row>
    <row r="44" spans="1:12" ht="32.25" x14ac:dyDescent="0.3">
      <c r="A44" s="6"/>
      <c r="B44" s="5"/>
      <c r="C44" s="4"/>
      <c r="D44" s="15" t="s">
        <v>265</v>
      </c>
      <c r="E44" s="41"/>
      <c r="F44" s="41">
        <v>1</v>
      </c>
      <c r="G44" s="14" t="s">
        <v>266</v>
      </c>
      <c r="H44" s="45">
        <f>16000/F44</f>
        <v>16000</v>
      </c>
      <c r="I44" s="58">
        <f>F44*H44</f>
        <v>16000</v>
      </c>
      <c r="J44" s="13"/>
      <c r="L44" s="2"/>
    </row>
    <row r="45" spans="1:12" ht="18.75" x14ac:dyDescent="0.3">
      <c r="A45" s="6" t="s">
        <v>18</v>
      </c>
      <c r="B45" s="5"/>
      <c r="C45" s="4"/>
      <c r="D45" s="4" t="s">
        <v>45</v>
      </c>
      <c r="E45" s="41" t="s">
        <v>139</v>
      </c>
      <c r="F45" s="41" t="s">
        <v>139</v>
      </c>
      <c r="G45" s="14" t="s">
        <v>54</v>
      </c>
      <c r="H45" s="41" t="s">
        <v>139</v>
      </c>
      <c r="I45" s="41" t="s">
        <v>139</v>
      </c>
      <c r="J45" s="13"/>
      <c r="L45" s="2"/>
    </row>
    <row r="46" spans="1:12" ht="18.75" x14ac:dyDescent="0.3">
      <c r="A46" s="28"/>
      <c r="B46" s="22"/>
      <c r="C46" s="22"/>
      <c r="D46" s="22"/>
      <c r="E46" s="46"/>
      <c r="F46" s="46"/>
      <c r="G46" s="12"/>
      <c r="H46" s="41"/>
      <c r="I46" s="45">
        <f>SUM(I19:I45)</f>
        <v>725715.2</v>
      </c>
      <c r="J46" s="13"/>
      <c r="L46" s="2"/>
    </row>
    <row r="47" spans="1:12" ht="24" customHeight="1" x14ac:dyDescent="0.3">
      <c r="A47" s="74" t="s">
        <v>85</v>
      </c>
      <c r="B47" s="75"/>
      <c r="C47" s="75"/>
      <c r="D47" s="75"/>
      <c r="E47" s="75"/>
      <c r="F47" s="75"/>
      <c r="G47" s="76"/>
      <c r="H47" s="14"/>
      <c r="I47" s="5"/>
      <c r="J47" s="13"/>
      <c r="L47" s="2"/>
    </row>
    <row r="48" spans="1:12" ht="32.25" customHeight="1" x14ac:dyDescent="0.3">
      <c r="A48" s="6" t="s">
        <v>49</v>
      </c>
      <c r="B48" s="5"/>
      <c r="C48" s="4"/>
      <c r="D48" s="15" t="s">
        <v>212</v>
      </c>
      <c r="E48" s="41"/>
      <c r="F48" s="41">
        <v>8</v>
      </c>
      <c r="G48" s="38" t="s">
        <v>31</v>
      </c>
      <c r="H48" s="41">
        <f>7502.8/F48</f>
        <v>937.85</v>
      </c>
      <c r="I48" s="58">
        <f>F48*H48</f>
        <v>7502.8</v>
      </c>
      <c r="J48" s="13" t="s">
        <v>120</v>
      </c>
      <c r="L48" s="2"/>
    </row>
    <row r="49" spans="1:12" ht="32.25" customHeight="1" x14ac:dyDescent="0.3">
      <c r="A49" s="6"/>
      <c r="B49" s="5"/>
      <c r="C49" s="4"/>
      <c r="D49" s="15" t="s">
        <v>187</v>
      </c>
      <c r="E49" s="41"/>
      <c r="F49" s="41">
        <f>7+7.5</f>
        <v>14.5</v>
      </c>
      <c r="G49" s="38" t="s">
        <v>30</v>
      </c>
      <c r="H49" s="45">
        <f>(1844.2+1976)/F49</f>
        <v>263.46206896551723</v>
      </c>
      <c r="I49" s="58">
        <f>F49*H49</f>
        <v>3820.2</v>
      </c>
      <c r="J49" s="13" t="s">
        <v>299</v>
      </c>
      <c r="L49" s="2"/>
    </row>
    <row r="50" spans="1:12" ht="32.25" customHeight="1" x14ac:dyDescent="0.3">
      <c r="A50" s="6"/>
      <c r="B50" s="5"/>
      <c r="C50" s="4"/>
      <c r="D50" s="15" t="s">
        <v>144</v>
      </c>
      <c r="E50" s="41"/>
      <c r="F50" s="41"/>
      <c r="G50" s="13" t="s">
        <v>145</v>
      </c>
      <c r="H50" s="41" t="s">
        <v>139</v>
      </c>
      <c r="I50" s="41" t="s">
        <v>139</v>
      </c>
      <c r="J50" s="13"/>
      <c r="L50" s="2"/>
    </row>
    <row r="51" spans="1:12" ht="32.25" customHeight="1" x14ac:dyDescent="0.3">
      <c r="A51" s="6"/>
      <c r="B51" s="5"/>
      <c r="C51" s="4"/>
      <c r="D51" s="15" t="s">
        <v>146</v>
      </c>
      <c r="E51" s="41"/>
      <c r="F51" s="41"/>
      <c r="G51" s="13" t="s">
        <v>31</v>
      </c>
      <c r="H51" s="41" t="s">
        <v>139</v>
      </c>
      <c r="I51" s="41" t="s">
        <v>139</v>
      </c>
      <c r="J51" s="13"/>
      <c r="L51" s="2"/>
    </row>
    <row r="52" spans="1:12" ht="32.25" customHeight="1" x14ac:dyDescent="0.3">
      <c r="A52" s="6"/>
      <c r="B52" s="5"/>
      <c r="C52" s="4"/>
      <c r="D52" s="15" t="s">
        <v>213</v>
      </c>
      <c r="E52" s="41"/>
      <c r="F52" s="41">
        <f>1+1+1</f>
        <v>3</v>
      </c>
      <c r="G52" s="13" t="s">
        <v>31</v>
      </c>
      <c r="H52" s="45">
        <f>(4933+4912.4+4997.2)/F52</f>
        <v>4947.5333333333328</v>
      </c>
      <c r="I52" s="58">
        <f>F52*H52</f>
        <v>14842.599999999999</v>
      </c>
      <c r="J52" s="13" t="s">
        <v>210</v>
      </c>
      <c r="L52" s="2"/>
    </row>
    <row r="53" spans="1:12" ht="32.25" customHeight="1" x14ac:dyDescent="0.3">
      <c r="A53" s="6"/>
      <c r="B53" s="5"/>
      <c r="C53" s="4"/>
      <c r="D53" s="15" t="s">
        <v>214</v>
      </c>
      <c r="E53" s="41"/>
      <c r="F53" s="41">
        <v>1</v>
      </c>
      <c r="G53" s="13" t="s">
        <v>31</v>
      </c>
      <c r="H53" s="41">
        <f>1323.6/F53</f>
        <v>1323.6</v>
      </c>
      <c r="I53" s="58">
        <f>F53*H53</f>
        <v>1323.6</v>
      </c>
      <c r="J53" s="13" t="s">
        <v>210</v>
      </c>
      <c r="L53" s="2"/>
    </row>
    <row r="54" spans="1:12" ht="32.25" customHeight="1" x14ac:dyDescent="0.3">
      <c r="A54" s="6"/>
      <c r="B54" s="5"/>
      <c r="C54" s="4"/>
      <c r="D54" s="15" t="s">
        <v>186</v>
      </c>
      <c r="E54" s="41"/>
      <c r="F54" s="41">
        <f>4.6+11.2+6.72+52.08</f>
        <v>74.599999999999994</v>
      </c>
      <c r="G54" s="13" t="s">
        <v>112</v>
      </c>
      <c r="H54" s="57">
        <f>(908.8+2272+1544.6+10565.4)/F54</f>
        <v>204.97050938337802</v>
      </c>
      <c r="I54" s="58">
        <f>F54*H54</f>
        <v>15290.8</v>
      </c>
      <c r="J54" s="13" t="s">
        <v>117</v>
      </c>
      <c r="L54" s="2"/>
    </row>
    <row r="55" spans="1:12" ht="32.25" customHeight="1" x14ac:dyDescent="0.3">
      <c r="A55" s="6"/>
      <c r="B55" s="5"/>
      <c r="C55" s="4"/>
      <c r="D55" s="15" t="s">
        <v>274</v>
      </c>
      <c r="E55" s="41"/>
      <c r="F55" s="41">
        <f>4.8</f>
        <v>4.8</v>
      </c>
      <c r="G55" s="13" t="s">
        <v>112</v>
      </c>
      <c r="H55" s="57">
        <f>5207/F55</f>
        <v>1084.7916666666667</v>
      </c>
      <c r="I55" s="58">
        <f>F55*H55</f>
        <v>5207</v>
      </c>
      <c r="J55" s="13" t="s">
        <v>117</v>
      </c>
      <c r="L55" s="2"/>
    </row>
    <row r="56" spans="1:12" ht="32.25" x14ac:dyDescent="0.3">
      <c r="A56" s="6" t="s">
        <v>50</v>
      </c>
      <c r="B56" s="5"/>
      <c r="C56" s="4"/>
      <c r="D56" s="15" t="s">
        <v>99</v>
      </c>
      <c r="E56" s="41"/>
      <c r="F56" s="41"/>
      <c r="G56" s="13" t="s">
        <v>54</v>
      </c>
      <c r="H56" s="41" t="s">
        <v>139</v>
      </c>
      <c r="I56" s="41" t="s">
        <v>139</v>
      </c>
      <c r="J56" s="13"/>
      <c r="L56" s="2"/>
    </row>
    <row r="57" spans="1:12" ht="32.25" x14ac:dyDescent="0.3">
      <c r="A57" s="6"/>
      <c r="B57" s="5"/>
      <c r="C57" s="4"/>
      <c r="D57" s="15" t="s">
        <v>202</v>
      </c>
      <c r="E57" s="41"/>
      <c r="F57" s="41">
        <v>16</v>
      </c>
      <c r="G57" s="13" t="s">
        <v>31</v>
      </c>
      <c r="H57" s="45">
        <f>17559/F57</f>
        <v>1097.4375</v>
      </c>
      <c r="I57" s="58">
        <f t="shared" ref="I57:I65" si="1">F57*H57</f>
        <v>17559</v>
      </c>
      <c r="J57" s="13" t="s">
        <v>120</v>
      </c>
      <c r="L57" s="2"/>
    </row>
    <row r="58" spans="1:12" ht="18.75" x14ac:dyDescent="0.3">
      <c r="A58" s="6"/>
      <c r="B58" s="5"/>
      <c r="C58" s="4"/>
      <c r="D58" s="15" t="s">
        <v>203</v>
      </c>
      <c r="E58" s="41"/>
      <c r="F58" s="41">
        <v>21.6</v>
      </c>
      <c r="G58" s="13" t="s">
        <v>112</v>
      </c>
      <c r="H58" s="45">
        <f>8397.2/F58</f>
        <v>388.7592592592593</v>
      </c>
      <c r="I58" s="59">
        <f t="shared" si="1"/>
        <v>8397.2000000000007</v>
      </c>
      <c r="J58" s="13" t="s">
        <v>120</v>
      </c>
      <c r="L58" s="2"/>
    </row>
    <row r="59" spans="1:12" ht="48" x14ac:dyDescent="0.3">
      <c r="A59" s="6"/>
      <c r="B59" s="5"/>
      <c r="C59" s="4"/>
      <c r="D59" s="15" t="s">
        <v>204</v>
      </c>
      <c r="E59" s="41"/>
      <c r="F59" s="41">
        <v>21.6</v>
      </c>
      <c r="G59" s="13" t="s">
        <v>112</v>
      </c>
      <c r="H59" s="45">
        <f>241132.2/F59</f>
        <v>11163.527777777777</v>
      </c>
      <c r="I59" s="58">
        <f t="shared" si="1"/>
        <v>241132.2</v>
      </c>
      <c r="J59" s="13" t="s">
        <v>120</v>
      </c>
      <c r="L59" s="2"/>
    </row>
    <row r="60" spans="1:12" ht="18.75" x14ac:dyDescent="0.3">
      <c r="A60" s="6"/>
      <c r="B60" s="5"/>
      <c r="C60" s="4"/>
      <c r="D60" s="15" t="s">
        <v>287</v>
      </c>
      <c r="E60" s="41"/>
      <c r="F60" s="41">
        <f>8</f>
        <v>8</v>
      </c>
      <c r="G60" s="13" t="s">
        <v>31</v>
      </c>
      <c r="H60" s="45">
        <f>295200/F60</f>
        <v>36900</v>
      </c>
      <c r="I60" s="58">
        <f>F60*H60</f>
        <v>295200</v>
      </c>
      <c r="J60" s="13" t="s">
        <v>120</v>
      </c>
      <c r="L60" s="2"/>
    </row>
    <row r="61" spans="1:12" ht="32.25" x14ac:dyDescent="0.3">
      <c r="A61" s="6"/>
      <c r="B61" s="5"/>
      <c r="C61" s="4"/>
      <c r="D61" s="15" t="s">
        <v>205</v>
      </c>
      <c r="E61" s="41"/>
      <c r="F61" s="41">
        <v>24</v>
      </c>
      <c r="G61" s="13" t="s">
        <v>30</v>
      </c>
      <c r="H61" s="45">
        <f>16936.4/F61</f>
        <v>705.68333333333339</v>
      </c>
      <c r="I61" s="58">
        <f t="shared" si="1"/>
        <v>16936.400000000001</v>
      </c>
      <c r="J61" s="13" t="s">
        <v>120</v>
      </c>
      <c r="L61" s="2"/>
    </row>
    <row r="62" spans="1:12" ht="18.75" x14ac:dyDescent="0.3">
      <c r="A62" s="6"/>
      <c r="B62" s="5"/>
      <c r="C62" s="4"/>
      <c r="D62" s="15" t="s">
        <v>219</v>
      </c>
      <c r="E62" s="41"/>
      <c r="F62" s="41">
        <v>24</v>
      </c>
      <c r="G62" s="13" t="s">
        <v>220</v>
      </c>
      <c r="H62" s="41">
        <f>12538.8/F62</f>
        <v>522.44999999999993</v>
      </c>
      <c r="I62" s="59">
        <f t="shared" si="1"/>
        <v>12538.8</v>
      </c>
      <c r="J62" s="13" t="s">
        <v>120</v>
      </c>
      <c r="L62" s="2"/>
    </row>
    <row r="63" spans="1:12" ht="32.25" x14ac:dyDescent="0.3">
      <c r="A63" s="6"/>
      <c r="B63" s="5"/>
      <c r="C63" s="4"/>
      <c r="D63" s="15" t="s">
        <v>257</v>
      </c>
      <c r="E63" s="41"/>
      <c r="F63" s="41">
        <f>0.36</f>
        <v>0.36</v>
      </c>
      <c r="G63" s="13" t="s">
        <v>112</v>
      </c>
      <c r="H63" s="45">
        <f>1368.4/F63</f>
        <v>3801.1111111111113</v>
      </c>
      <c r="I63" s="59">
        <f t="shared" ref="I63" si="2">F63*H63</f>
        <v>1368.4</v>
      </c>
      <c r="J63" s="13" t="s">
        <v>117</v>
      </c>
      <c r="L63" s="2"/>
    </row>
    <row r="64" spans="1:12" ht="32.25" x14ac:dyDescent="0.3">
      <c r="A64" s="6"/>
      <c r="B64" s="5"/>
      <c r="C64" s="4"/>
      <c r="D64" s="15" t="s">
        <v>245</v>
      </c>
      <c r="E64" s="41"/>
      <c r="F64" s="41">
        <f>0.7</f>
        <v>0.7</v>
      </c>
      <c r="G64" s="13" t="s">
        <v>112</v>
      </c>
      <c r="H64" s="41">
        <f>1612.8/F64</f>
        <v>2304</v>
      </c>
      <c r="I64" s="59">
        <f t="shared" si="1"/>
        <v>1612.8</v>
      </c>
      <c r="J64" s="13" t="s">
        <v>117</v>
      </c>
      <c r="L64" s="2"/>
    </row>
    <row r="65" spans="1:12" ht="32.25" x14ac:dyDescent="0.3">
      <c r="A65" s="6"/>
      <c r="B65" s="5"/>
      <c r="C65" s="4"/>
      <c r="D65" s="15" t="s">
        <v>246</v>
      </c>
      <c r="E65" s="41"/>
      <c r="F65" s="41">
        <v>0.26</v>
      </c>
      <c r="G65" s="13" t="s">
        <v>112</v>
      </c>
      <c r="H65" s="45">
        <f>676.4/F65</f>
        <v>2601.5384615384614</v>
      </c>
      <c r="I65" s="59">
        <f t="shared" si="1"/>
        <v>676.4</v>
      </c>
      <c r="J65" s="13" t="s">
        <v>117</v>
      </c>
      <c r="L65" s="2"/>
    </row>
    <row r="66" spans="1:12" ht="18.75" x14ac:dyDescent="0.3">
      <c r="A66" s="6"/>
      <c r="B66" s="5"/>
      <c r="C66" s="4"/>
      <c r="D66" s="15" t="s">
        <v>255</v>
      </c>
      <c r="E66" s="41"/>
      <c r="F66" s="41">
        <f>2</f>
        <v>2</v>
      </c>
      <c r="G66" s="13" t="s">
        <v>31</v>
      </c>
      <c r="H66" s="45">
        <f>9400/F66</f>
        <v>4700</v>
      </c>
      <c r="I66" s="59">
        <f>F66*H66</f>
        <v>9400</v>
      </c>
      <c r="J66" s="13" t="s">
        <v>117</v>
      </c>
      <c r="L66" s="2"/>
    </row>
    <row r="67" spans="1:12" ht="48" x14ac:dyDescent="0.3">
      <c r="A67" s="6"/>
      <c r="B67" s="5"/>
      <c r="C67" s="4"/>
      <c r="D67" s="15" t="s">
        <v>288</v>
      </c>
      <c r="E67" s="41"/>
      <c r="F67" s="41">
        <f>7.2</f>
        <v>7.2</v>
      </c>
      <c r="G67" s="13" t="s">
        <v>112</v>
      </c>
      <c r="H67" s="45">
        <f>2275.2/F67</f>
        <v>315.99999999999994</v>
      </c>
      <c r="I67" s="59">
        <f>F67*H67</f>
        <v>2275.1999999999998</v>
      </c>
      <c r="J67" s="13" t="s">
        <v>117</v>
      </c>
      <c r="L67" s="2"/>
    </row>
    <row r="68" spans="1:12" ht="32.25" x14ac:dyDescent="0.3">
      <c r="A68" s="6"/>
      <c r="B68" s="5"/>
      <c r="C68" s="4"/>
      <c r="D68" s="15" t="s">
        <v>289</v>
      </c>
      <c r="E68" s="41"/>
      <c r="F68" s="41">
        <v>3.6</v>
      </c>
      <c r="G68" s="13" t="s">
        <v>112</v>
      </c>
      <c r="H68" s="45">
        <f>2324.8/F68</f>
        <v>645.77777777777783</v>
      </c>
      <c r="I68" s="59">
        <f>F68*H68</f>
        <v>2324.8000000000002</v>
      </c>
      <c r="J68" s="13" t="s">
        <v>117</v>
      </c>
      <c r="L68" s="2"/>
    </row>
    <row r="69" spans="1:12" ht="32.25" x14ac:dyDescent="0.3">
      <c r="A69" s="6" t="s">
        <v>59</v>
      </c>
      <c r="B69" s="8"/>
      <c r="C69" s="4"/>
      <c r="D69" s="15" t="s">
        <v>46</v>
      </c>
      <c r="E69" s="41"/>
      <c r="F69" s="41"/>
      <c r="G69" s="14" t="s">
        <v>53</v>
      </c>
      <c r="H69" s="41" t="s">
        <v>139</v>
      </c>
      <c r="I69" s="41" t="s">
        <v>139</v>
      </c>
      <c r="J69" s="13"/>
      <c r="L69" s="2"/>
    </row>
    <row r="70" spans="1:12" ht="48" x14ac:dyDescent="0.3">
      <c r="A70" s="6"/>
      <c r="B70" s="8"/>
      <c r="C70" s="4"/>
      <c r="D70" s="15" t="s">
        <v>249</v>
      </c>
      <c r="E70" s="41"/>
      <c r="F70" s="41">
        <f>12</f>
        <v>12</v>
      </c>
      <c r="G70" s="12" t="s">
        <v>112</v>
      </c>
      <c r="H70" s="45">
        <f>15356/F70</f>
        <v>1279.6666666666667</v>
      </c>
      <c r="I70" s="58">
        <f>F70*H70</f>
        <v>15356</v>
      </c>
      <c r="J70" s="13" t="s">
        <v>117</v>
      </c>
      <c r="L70" s="2"/>
    </row>
    <row r="71" spans="1:12" ht="18.75" x14ac:dyDescent="0.3">
      <c r="A71" s="6"/>
      <c r="B71" s="8"/>
      <c r="C71" s="4"/>
      <c r="D71" s="15" t="s">
        <v>180</v>
      </c>
      <c r="E71" s="41"/>
      <c r="F71" s="41">
        <v>16.2</v>
      </c>
      <c r="G71" s="12" t="s">
        <v>220</v>
      </c>
      <c r="H71" s="45">
        <f>1538.8/F71</f>
        <v>94.987654320987659</v>
      </c>
      <c r="I71" s="58">
        <f>F71*H71</f>
        <v>1538.8</v>
      </c>
      <c r="J71" s="13" t="s">
        <v>117</v>
      </c>
      <c r="L71" s="2"/>
    </row>
    <row r="72" spans="1:12" ht="32.25" x14ac:dyDescent="0.3">
      <c r="A72" s="6"/>
      <c r="B72" s="8"/>
      <c r="C72" s="4"/>
      <c r="D72" s="15" t="s">
        <v>185</v>
      </c>
      <c r="E72" s="41"/>
      <c r="F72" s="41"/>
      <c r="G72" s="12" t="s">
        <v>112</v>
      </c>
      <c r="H72" s="41" t="s">
        <v>139</v>
      </c>
      <c r="I72" s="41" t="s">
        <v>139</v>
      </c>
      <c r="J72" s="13"/>
      <c r="L72" s="2"/>
    </row>
    <row r="73" spans="1:12" ht="48" x14ac:dyDescent="0.3">
      <c r="A73" s="6"/>
      <c r="B73" s="8"/>
      <c r="C73" s="4"/>
      <c r="D73" s="15" t="s">
        <v>230</v>
      </c>
      <c r="E73" s="41"/>
      <c r="F73" s="41">
        <f>2</f>
        <v>2</v>
      </c>
      <c r="G73" s="12" t="s">
        <v>112</v>
      </c>
      <c r="H73" s="41">
        <f>7666.6/F73</f>
        <v>3833.3</v>
      </c>
      <c r="I73" s="58">
        <f>F73*H73</f>
        <v>7666.6</v>
      </c>
      <c r="J73" s="13" t="s">
        <v>117</v>
      </c>
      <c r="L73" s="2"/>
    </row>
    <row r="74" spans="1:12" ht="48" x14ac:dyDescent="0.3">
      <c r="A74" s="6"/>
      <c r="B74" s="8"/>
      <c r="C74" s="4"/>
      <c r="D74" s="15" t="s">
        <v>277</v>
      </c>
      <c r="E74" s="41"/>
      <c r="F74" s="41">
        <v>733.09</v>
      </c>
      <c r="G74" s="14" t="s">
        <v>112</v>
      </c>
      <c r="H74" s="45">
        <f>130300.6/F74</f>
        <v>177.74161426291451</v>
      </c>
      <c r="I74" s="58">
        <f>F74*H74</f>
        <v>130300.6</v>
      </c>
      <c r="J74" s="13" t="s">
        <v>117</v>
      </c>
      <c r="L74" s="2"/>
    </row>
    <row r="75" spans="1:12" ht="32.25" x14ac:dyDescent="0.3">
      <c r="A75" s="6"/>
      <c r="B75" s="8"/>
      <c r="C75" s="4"/>
      <c r="D75" s="15" t="s">
        <v>185</v>
      </c>
      <c r="E75" s="41"/>
      <c r="F75" s="41">
        <f>743.14</f>
        <v>743.14</v>
      </c>
      <c r="G75" s="14" t="s">
        <v>112</v>
      </c>
      <c r="H75" s="45">
        <f>443693.8/F75</f>
        <v>597.05277605834704</v>
      </c>
      <c r="I75" s="58">
        <f>F75*H75</f>
        <v>443693.8</v>
      </c>
      <c r="J75" s="13" t="s">
        <v>117</v>
      </c>
      <c r="L75" s="2"/>
    </row>
    <row r="76" spans="1:12" ht="48" x14ac:dyDescent="0.3">
      <c r="A76" s="6"/>
      <c r="B76" s="8"/>
      <c r="C76" s="4"/>
      <c r="D76" s="15" t="s">
        <v>278</v>
      </c>
      <c r="E76" s="41"/>
      <c r="F76" s="41">
        <f>21.21</f>
        <v>21.21</v>
      </c>
      <c r="G76" s="12" t="s">
        <v>112</v>
      </c>
      <c r="H76" s="45">
        <f>7559.6/F76</f>
        <v>356.41678453559643</v>
      </c>
      <c r="I76" s="58">
        <f>F76*H76</f>
        <v>7559.6</v>
      </c>
      <c r="J76" s="13" t="s">
        <v>117</v>
      </c>
      <c r="L76" s="2"/>
    </row>
    <row r="77" spans="1:12" ht="18.75" x14ac:dyDescent="0.3">
      <c r="A77" s="6"/>
      <c r="B77" s="8"/>
      <c r="C77" s="4"/>
      <c r="D77" s="15" t="s">
        <v>180</v>
      </c>
      <c r="E77" s="41"/>
      <c r="F77" s="41"/>
      <c r="G77" s="41" t="s">
        <v>30</v>
      </c>
      <c r="H77" s="41" t="s">
        <v>139</v>
      </c>
      <c r="I77" s="41" t="s">
        <v>139</v>
      </c>
      <c r="J77" s="13"/>
      <c r="L77" s="2"/>
    </row>
    <row r="78" spans="1:12" ht="18.75" x14ac:dyDescent="0.3">
      <c r="A78" s="6" t="s">
        <v>61</v>
      </c>
      <c r="B78" s="5"/>
      <c r="C78" s="4"/>
      <c r="D78" s="15" t="s">
        <v>51</v>
      </c>
      <c r="E78" s="41"/>
      <c r="F78" s="41"/>
      <c r="G78" s="14" t="s">
        <v>53</v>
      </c>
      <c r="H78" s="41"/>
      <c r="I78" s="41"/>
      <c r="J78" s="13"/>
      <c r="L78" s="2"/>
    </row>
    <row r="79" spans="1:12" ht="32.25" x14ac:dyDescent="0.3">
      <c r="A79" s="6"/>
      <c r="B79" s="5"/>
      <c r="C79" s="4"/>
      <c r="D79" s="15" t="s">
        <v>231</v>
      </c>
      <c r="E79" s="41"/>
      <c r="F79" s="41">
        <f>4</f>
        <v>4</v>
      </c>
      <c r="G79" s="14" t="s">
        <v>31</v>
      </c>
      <c r="H79" s="41">
        <f>1029/F79</f>
        <v>257.25</v>
      </c>
      <c r="I79" s="58">
        <f>F79*H79</f>
        <v>1029</v>
      </c>
      <c r="J79" s="13" t="s">
        <v>117</v>
      </c>
      <c r="L79" s="2"/>
    </row>
    <row r="80" spans="1:12" ht="32.25" x14ac:dyDescent="0.3">
      <c r="A80" s="6"/>
      <c r="B80" s="5"/>
      <c r="C80" s="4"/>
      <c r="D80" s="15" t="s">
        <v>232</v>
      </c>
      <c r="E80" s="41"/>
      <c r="F80" s="41">
        <f>6</f>
        <v>6</v>
      </c>
      <c r="G80" s="14" t="s">
        <v>233</v>
      </c>
      <c r="H80" s="45">
        <f>2400.4/F80</f>
        <v>400.06666666666666</v>
      </c>
      <c r="I80" s="58">
        <f>F80*H80</f>
        <v>2400.4</v>
      </c>
      <c r="J80" s="13" t="s">
        <v>117</v>
      </c>
      <c r="L80" s="2"/>
    </row>
    <row r="81" spans="1:12" ht="32.25" x14ac:dyDescent="0.3">
      <c r="A81" s="6"/>
      <c r="B81" s="5"/>
      <c r="C81" s="4"/>
      <c r="D81" s="15" t="s">
        <v>248</v>
      </c>
      <c r="E81" s="41"/>
      <c r="F81" s="41">
        <v>14</v>
      </c>
      <c r="G81" s="14" t="s">
        <v>149</v>
      </c>
      <c r="H81" s="45">
        <f>44785.2/F81</f>
        <v>3198.9428571428571</v>
      </c>
      <c r="I81" s="58">
        <f t="shared" ref="I81:I82" si="3">F81*H81</f>
        <v>44785.2</v>
      </c>
      <c r="J81" s="13" t="s">
        <v>117</v>
      </c>
      <c r="L81" s="2"/>
    </row>
    <row r="82" spans="1:12" ht="32.25" x14ac:dyDescent="0.3">
      <c r="A82" s="6"/>
      <c r="B82" s="5"/>
      <c r="C82" s="4"/>
      <c r="D82" s="15" t="s">
        <v>247</v>
      </c>
      <c r="E82" s="41"/>
      <c r="F82" s="41">
        <v>14</v>
      </c>
      <c r="G82" s="14" t="s">
        <v>149</v>
      </c>
      <c r="H82" s="45">
        <f>-40378/F82</f>
        <v>-2884.1428571428573</v>
      </c>
      <c r="I82" s="58">
        <f t="shared" si="3"/>
        <v>-40378</v>
      </c>
      <c r="J82" s="13" t="s">
        <v>117</v>
      </c>
      <c r="L82" s="2"/>
    </row>
    <row r="83" spans="1:12" ht="18.75" x14ac:dyDescent="0.3">
      <c r="A83" s="6"/>
      <c r="B83" s="5"/>
      <c r="C83" s="4"/>
      <c r="D83" s="15" t="s">
        <v>279</v>
      </c>
      <c r="E83" s="41"/>
      <c r="F83" s="41">
        <f>8.1+6</f>
        <v>14.1</v>
      </c>
      <c r="G83" s="14" t="s">
        <v>149</v>
      </c>
      <c r="H83" s="45">
        <f>(1205.2+862.8)/F83</f>
        <v>146.66666666666666</v>
      </c>
      <c r="I83" s="58">
        <f t="shared" ref="I83:I89" si="4">F83*H83</f>
        <v>2068</v>
      </c>
      <c r="J83" s="13" t="s">
        <v>117</v>
      </c>
      <c r="L83" s="2"/>
    </row>
    <row r="84" spans="1:12" ht="32.25" x14ac:dyDescent="0.3">
      <c r="A84" s="6"/>
      <c r="B84" s="5"/>
      <c r="C84" s="4"/>
      <c r="D84" s="15" t="s">
        <v>280</v>
      </c>
      <c r="E84" s="41"/>
      <c r="F84" s="41">
        <f>7</f>
        <v>7</v>
      </c>
      <c r="G84" s="14" t="s">
        <v>31</v>
      </c>
      <c r="H84" s="45">
        <f>2063.8/F84</f>
        <v>294.82857142857148</v>
      </c>
      <c r="I84" s="58">
        <f t="shared" si="4"/>
        <v>2063.8000000000002</v>
      </c>
      <c r="J84" s="13" t="s">
        <v>117</v>
      </c>
      <c r="L84" s="2"/>
    </row>
    <row r="85" spans="1:12" ht="48" x14ac:dyDescent="0.3">
      <c r="A85" s="6"/>
      <c r="B85" s="5"/>
      <c r="C85" s="4"/>
      <c r="D85" s="15" t="s">
        <v>281</v>
      </c>
      <c r="E85" s="41"/>
      <c r="F85" s="41">
        <f>26.225</f>
        <v>26.225000000000001</v>
      </c>
      <c r="G85" s="14" t="s">
        <v>112</v>
      </c>
      <c r="H85" s="45">
        <f>20588.6/F85</f>
        <v>785.07530981887498</v>
      </c>
      <c r="I85" s="58">
        <f t="shared" si="4"/>
        <v>20588.599999999999</v>
      </c>
      <c r="J85" s="13" t="s">
        <v>117</v>
      </c>
      <c r="L85" s="2"/>
    </row>
    <row r="86" spans="1:12" ht="48" x14ac:dyDescent="0.3">
      <c r="A86" s="6"/>
      <c r="B86" s="5"/>
      <c r="C86" s="4"/>
      <c r="D86" s="15" t="s">
        <v>282</v>
      </c>
      <c r="E86" s="41"/>
      <c r="F86" s="41">
        <f>7.29</f>
        <v>7.29</v>
      </c>
      <c r="G86" s="14" t="s">
        <v>112</v>
      </c>
      <c r="H86" s="45">
        <f>1742/F86</f>
        <v>238.95747599451303</v>
      </c>
      <c r="I86" s="58">
        <f t="shared" si="4"/>
        <v>1742</v>
      </c>
      <c r="J86" s="13" t="s">
        <v>117</v>
      </c>
      <c r="L86" s="2"/>
    </row>
    <row r="87" spans="1:12" ht="32.25" x14ac:dyDescent="0.3">
      <c r="A87" s="6" t="s">
        <v>62</v>
      </c>
      <c r="B87" s="5"/>
      <c r="C87" s="4"/>
      <c r="D87" s="15" t="s">
        <v>64</v>
      </c>
      <c r="E87" s="41"/>
      <c r="F87" s="41">
        <v>3</v>
      </c>
      <c r="G87" s="13" t="s">
        <v>149</v>
      </c>
      <c r="H87" s="45">
        <f>2405/F87</f>
        <v>801.66666666666663</v>
      </c>
      <c r="I87" s="59">
        <f t="shared" si="4"/>
        <v>2405</v>
      </c>
      <c r="J87" s="13" t="s">
        <v>122</v>
      </c>
      <c r="L87" s="2"/>
    </row>
    <row r="88" spans="1:12" ht="18.75" x14ac:dyDescent="0.3">
      <c r="A88" s="6"/>
      <c r="B88" s="5"/>
      <c r="C88" s="4"/>
      <c r="D88" s="15" t="s">
        <v>244</v>
      </c>
      <c r="E88" s="41"/>
      <c r="F88" s="41">
        <f>4+2</f>
        <v>6</v>
      </c>
      <c r="G88" s="13" t="s">
        <v>31</v>
      </c>
      <c r="H88" s="41">
        <f>(2647.6+1364.6)/F88</f>
        <v>668.69999999999993</v>
      </c>
      <c r="I88" s="59">
        <f t="shared" si="4"/>
        <v>4012.2</v>
      </c>
      <c r="J88" s="13" t="s">
        <v>117</v>
      </c>
      <c r="L88" s="2"/>
    </row>
    <row r="89" spans="1:12" ht="18.75" x14ac:dyDescent="0.3">
      <c r="A89" s="6"/>
      <c r="B89" s="5"/>
      <c r="C89" s="4"/>
      <c r="D89" s="15" t="s">
        <v>243</v>
      </c>
      <c r="E89" s="41"/>
      <c r="F89" s="41">
        <f>4+2</f>
        <v>6</v>
      </c>
      <c r="G89" s="13" t="s">
        <v>31</v>
      </c>
      <c r="H89" s="41">
        <f>(21224.2+1939.4)/F89</f>
        <v>3860.6000000000004</v>
      </c>
      <c r="I89" s="59">
        <f t="shared" si="4"/>
        <v>23163.600000000002</v>
      </c>
      <c r="J89" s="13" t="s">
        <v>117</v>
      </c>
      <c r="L89" s="2"/>
    </row>
    <row r="90" spans="1:12" ht="18.75" x14ac:dyDescent="0.3">
      <c r="A90" s="6"/>
      <c r="B90" s="5"/>
      <c r="C90" s="4"/>
      <c r="D90" s="15" t="s">
        <v>160</v>
      </c>
      <c r="E90" s="41"/>
      <c r="F90" s="41"/>
      <c r="G90" s="13" t="s">
        <v>31</v>
      </c>
      <c r="H90" s="41" t="s">
        <v>139</v>
      </c>
      <c r="I90" s="41" t="s">
        <v>139</v>
      </c>
      <c r="J90" s="13"/>
      <c r="L90" s="2"/>
    </row>
    <row r="91" spans="1:12" ht="48" x14ac:dyDescent="0.3">
      <c r="A91" s="6"/>
      <c r="B91" s="5"/>
      <c r="C91" s="4"/>
      <c r="D91" s="15" t="s">
        <v>284</v>
      </c>
      <c r="E91" s="41"/>
      <c r="F91" s="41">
        <f>19.26</f>
        <v>19.260000000000002</v>
      </c>
      <c r="G91" s="13" t="s">
        <v>112</v>
      </c>
      <c r="H91" s="45">
        <f>14458.4/F91</f>
        <v>750.69574247144328</v>
      </c>
      <c r="I91" s="58">
        <f>F91*H91</f>
        <v>14458.4</v>
      </c>
      <c r="J91" s="13" t="s">
        <v>117</v>
      </c>
      <c r="L91" s="2"/>
    </row>
    <row r="92" spans="1:12" ht="18.75" x14ac:dyDescent="0.3">
      <c r="A92" s="6" t="s">
        <v>58</v>
      </c>
      <c r="B92" s="8"/>
      <c r="C92" s="4"/>
      <c r="D92" s="4" t="s">
        <v>47</v>
      </c>
      <c r="E92" s="41"/>
      <c r="F92" s="41"/>
      <c r="G92" s="14" t="s">
        <v>53</v>
      </c>
      <c r="H92" s="41" t="s">
        <v>139</v>
      </c>
      <c r="I92" s="41" t="s">
        <v>139</v>
      </c>
      <c r="J92" s="13"/>
      <c r="L92" s="2"/>
    </row>
    <row r="93" spans="1:12" ht="48" x14ac:dyDescent="0.3">
      <c r="A93" s="6"/>
      <c r="B93" s="8"/>
      <c r="C93" s="4"/>
      <c r="D93" s="15" t="s">
        <v>275</v>
      </c>
      <c r="E93" s="41"/>
      <c r="F93" s="41">
        <f>257.24</f>
        <v>257.24</v>
      </c>
      <c r="G93" s="14" t="s">
        <v>112</v>
      </c>
      <c r="H93" s="45">
        <f>45723/F93</f>
        <v>177.74451873736587</v>
      </c>
      <c r="I93" s="58">
        <f>F93*H93</f>
        <v>45723</v>
      </c>
      <c r="J93" s="13" t="s">
        <v>117</v>
      </c>
      <c r="L93" s="2"/>
    </row>
    <row r="94" spans="1:12" ht="32.25" x14ac:dyDescent="0.3">
      <c r="A94" s="6"/>
      <c r="B94" s="8"/>
      <c r="C94" s="4"/>
      <c r="D94" s="15" t="s">
        <v>276</v>
      </c>
      <c r="E94" s="41"/>
      <c r="F94" s="41">
        <f>260.04</f>
        <v>260.04000000000002</v>
      </c>
      <c r="G94" s="14" t="s">
        <v>112</v>
      </c>
      <c r="H94" s="45">
        <f>212694.6/F94</f>
        <v>817.93031841255186</v>
      </c>
      <c r="I94" s="58">
        <f>F94*H94</f>
        <v>212694.6</v>
      </c>
      <c r="J94" s="13" t="s">
        <v>117</v>
      </c>
      <c r="L94" s="2"/>
    </row>
    <row r="95" spans="1:12" ht="32.25" x14ac:dyDescent="0.3">
      <c r="A95" s="6"/>
      <c r="B95" s="8"/>
      <c r="C95" s="4"/>
      <c r="D95" s="15" t="s">
        <v>232</v>
      </c>
      <c r="E95" s="41"/>
      <c r="F95" s="41">
        <f>17</f>
        <v>17</v>
      </c>
      <c r="G95" s="14" t="s">
        <v>258</v>
      </c>
      <c r="H95" s="45">
        <f>6800.8/F95</f>
        <v>400.04705882352943</v>
      </c>
      <c r="I95" s="58">
        <f>F95*H95</f>
        <v>6800.8</v>
      </c>
      <c r="J95" s="13" t="s">
        <v>117</v>
      </c>
      <c r="L95" s="2"/>
    </row>
    <row r="96" spans="1:12" ht="32.25" x14ac:dyDescent="0.3">
      <c r="A96" s="6"/>
      <c r="B96" s="8"/>
      <c r="C96" s="4"/>
      <c r="D96" s="15" t="s">
        <v>271</v>
      </c>
      <c r="E96" s="41"/>
      <c r="F96" s="41">
        <v>0.1</v>
      </c>
      <c r="G96" s="14" t="s">
        <v>272</v>
      </c>
      <c r="H96" s="45">
        <f>6829.2/F96</f>
        <v>68292</v>
      </c>
      <c r="I96" s="58">
        <f>F96*H96</f>
        <v>6829.2000000000007</v>
      </c>
      <c r="J96" s="13" t="s">
        <v>117</v>
      </c>
      <c r="L96" s="2"/>
    </row>
    <row r="97" spans="1:12" ht="24" customHeight="1" x14ac:dyDescent="0.3">
      <c r="A97" s="6" t="s">
        <v>60</v>
      </c>
      <c r="B97" s="8"/>
      <c r="C97" s="4"/>
      <c r="D97" s="4" t="s">
        <v>48</v>
      </c>
      <c r="E97" s="41"/>
      <c r="F97" s="41"/>
      <c r="G97" s="14" t="s">
        <v>53</v>
      </c>
      <c r="H97" s="41" t="s">
        <v>139</v>
      </c>
      <c r="I97" s="41" t="s">
        <v>139</v>
      </c>
      <c r="J97" s="13"/>
      <c r="L97" s="2"/>
    </row>
    <row r="98" spans="1:12" ht="24" customHeight="1" x14ac:dyDescent="0.3">
      <c r="A98" s="6" t="s">
        <v>65</v>
      </c>
      <c r="B98" s="5"/>
      <c r="C98" s="4"/>
      <c r="D98" s="4" t="s">
        <v>92</v>
      </c>
      <c r="E98" s="41" t="s">
        <v>139</v>
      </c>
      <c r="F98" s="41" t="s">
        <v>139</v>
      </c>
      <c r="G98" s="14" t="s">
        <v>112</v>
      </c>
      <c r="H98" s="41" t="s">
        <v>139</v>
      </c>
      <c r="I98" s="41" t="s">
        <v>139</v>
      </c>
      <c r="J98" s="13"/>
      <c r="L98" s="2"/>
    </row>
    <row r="99" spans="1:12" ht="24" customHeight="1" x14ac:dyDescent="0.3">
      <c r="A99" s="6"/>
      <c r="B99" s="5"/>
      <c r="C99" s="4"/>
      <c r="D99" s="4" t="s">
        <v>285</v>
      </c>
      <c r="E99" s="41"/>
      <c r="F99" s="41">
        <f>6</f>
        <v>6</v>
      </c>
      <c r="G99" s="14" t="s">
        <v>31</v>
      </c>
      <c r="H99" s="41">
        <f>7982.4/F99</f>
        <v>1330.3999999999999</v>
      </c>
      <c r="I99" s="58">
        <f>F99*H99</f>
        <v>7982.4</v>
      </c>
      <c r="J99" s="13" t="s">
        <v>117</v>
      </c>
      <c r="L99" s="2"/>
    </row>
    <row r="100" spans="1:12" ht="24" customHeight="1" x14ac:dyDescent="0.3">
      <c r="A100" s="6"/>
      <c r="B100" s="5"/>
      <c r="C100" s="4"/>
      <c r="D100" s="4" t="s">
        <v>286</v>
      </c>
      <c r="E100" s="41"/>
      <c r="F100" s="41">
        <f>6</f>
        <v>6</v>
      </c>
      <c r="G100" s="14" t="s">
        <v>31</v>
      </c>
      <c r="H100" s="41">
        <f>23190/F100</f>
        <v>3865</v>
      </c>
      <c r="I100" s="58">
        <f>F100*H100</f>
        <v>23190</v>
      </c>
      <c r="J100" s="13" t="s">
        <v>117</v>
      </c>
      <c r="L100" s="2"/>
    </row>
    <row r="101" spans="1:12" ht="24" customHeight="1" x14ac:dyDescent="0.3">
      <c r="A101" s="6"/>
      <c r="B101" s="5"/>
      <c r="C101" s="4"/>
      <c r="D101" s="4" t="s">
        <v>269</v>
      </c>
      <c r="E101" s="41"/>
      <c r="F101" s="41">
        <f>3</f>
        <v>3</v>
      </c>
      <c r="G101" s="14" t="s">
        <v>270</v>
      </c>
      <c r="H101" s="41">
        <f>8864.4/F101</f>
        <v>2954.7999999999997</v>
      </c>
      <c r="I101" s="58">
        <f>F101*H101</f>
        <v>8864.4</v>
      </c>
      <c r="J101" s="13" t="s">
        <v>117</v>
      </c>
      <c r="L101" s="2"/>
    </row>
    <row r="102" spans="1:12" ht="18.75" x14ac:dyDescent="0.3">
      <c r="A102" s="6"/>
      <c r="B102" s="5"/>
      <c r="C102" s="4"/>
      <c r="D102" s="4" t="s">
        <v>254</v>
      </c>
      <c r="E102" s="41"/>
      <c r="F102" s="41">
        <f>36</f>
        <v>36</v>
      </c>
      <c r="G102" s="14" t="s">
        <v>31</v>
      </c>
      <c r="H102" s="45">
        <f>41165.4/F102</f>
        <v>1143.4833333333333</v>
      </c>
      <c r="I102" s="58">
        <f>F102*H102</f>
        <v>41165.4</v>
      </c>
      <c r="J102" s="13" t="s">
        <v>117</v>
      </c>
      <c r="L102" s="2"/>
    </row>
    <row r="103" spans="1:12" ht="18.75" x14ac:dyDescent="0.3">
      <c r="A103" s="28"/>
      <c r="B103" s="22"/>
      <c r="C103" s="22"/>
      <c r="D103" s="22"/>
      <c r="E103" s="46"/>
      <c r="F103" s="46"/>
      <c r="G103" s="12"/>
      <c r="H103" s="41"/>
      <c r="I103" s="45">
        <f>SUM(I48:I102)</f>
        <v>1695111.6</v>
      </c>
      <c r="J103" s="13"/>
      <c r="L103" s="2"/>
    </row>
    <row r="104" spans="1:12" ht="18.75" x14ac:dyDescent="0.3">
      <c r="A104" s="74" t="s">
        <v>67</v>
      </c>
      <c r="B104" s="75"/>
      <c r="C104" s="75"/>
      <c r="D104" s="75"/>
      <c r="E104" s="75"/>
      <c r="F104" s="75"/>
      <c r="G104" s="76"/>
      <c r="H104" s="18"/>
      <c r="I104" s="5"/>
      <c r="J104" s="13"/>
      <c r="L104" s="2"/>
    </row>
    <row r="105" spans="1:12" ht="37.5" x14ac:dyDescent="0.25">
      <c r="A105" s="9" t="s">
        <v>29</v>
      </c>
      <c r="B105" s="8"/>
      <c r="C105" s="4"/>
      <c r="D105" s="15" t="s">
        <v>142</v>
      </c>
      <c r="E105" s="41" t="s">
        <v>139</v>
      </c>
      <c r="F105" s="41" t="s">
        <v>139</v>
      </c>
      <c r="G105" s="13" t="s">
        <v>54</v>
      </c>
      <c r="H105" s="41" t="s">
        <v>139</v>
      </c>
      <c r="I105" s="41" t="s">
        <v>139</v>
      </c>
      <c r="J105" s="13"/>
      <c r="L105" s="2"/>
    </row>
    <row r="106" spans="1:12" ht="31.5" x14ac:dyDescent="0.25">
      <c r="A106" s="9"/>
      <c r="B106" s="8"/>
      <c r="C106" s="4"/>
      <c r="D106" s="15" t="s">
        <v>259</v>
      </c>
      <c r="E106" s="41"/>
      <c r="F106" s="41">
        <f>2.5</f>
        <v>2.5</v>
      </c>
      <c r="G106" s="13" t="s">
        <v>112</v>
      </c>
      <c r="H106" s="41">
        <f>1973.8/F106</f>
        <v>789.52</v>
      </c>
      <c r="I106" s="58">
        <f>F106*H106</f>
        <v>1973.8</v>
      </c>
      <c r="J106" s="13" t="s">
        <v>117</v>
      </c>
      <c r="L106" s="2"/>
    </row>
    <row r="107" spans="1:12" ht="47.25" x14ac:dyDescent="0.25">
      <c r="A107" s="9"/>
      <c r="B107" s="8"/>
      <c r="C107" s="4"/>
      <c r="D107" s="15" t="s">
        <v>283</v>
      </c>
      <c r="E107" s="41"/>
      <c r="F107" s="41">
        <f>6.91</f>
        <v>6.91</v>
      </c>
      <c r="G107" s="13" t="s">
        <v>112</v>
      </c>
      <c r="H107" s="45">
        <f>5094.2/F107</f>
        <v>737.22141823444281</v>
      </c>
      <c r="I107" s="58">
        <f>F107*H107</f>
        <v>5094.2</v>
      </c>
      <c r="J107" s="13" t="s">
        <v>117</v>
      </c>
      <c r="L107" s="2"/>
    </row>
    <row r="108" spans="1:12" ht="47.25" x14ac:dyDescent="0.25">
      <c r="A108" s="9"/>
      <c r="B108" s="8"/>
      <c r="C108" s="4"/>
      <c r="D108" s="15" t="s">
        <v>297</v>
      </c>
      <c r="E108" s="41"/>
      <c r="F108" s="41">
        <f>1.08</f>
        <v>1.08</v>
      </c>
      <c r="G108" s="13" t="s">
        <v>112</v>
      </c>
      <c r="H108" s="45">
        <f>706.6/F108</f>
        <v>654.25925925925924</v>
      </c>
      <c r="I108" s="58">
        <f>F108*H108</f>
        <v>706.6</v>
      </c>
      <c r="J108" s="13" t="s">
        <v>117</v>
      </c>
      <c r="L108" s="2"/>
    </row>
    <row r="109" spans="1:12" ht="46.5" customHeight="1" x14ac:dyDescent="0.25">
      <c r="A109" s="9" t="s">
        <v>91</v>
      </c>
      <c r="B109" s="8"/>
      <c r="C109" s="4"/>
      <c r="D109" s="42" t="s">
        <v>124</v>
      </c>
      <c r="E109" s="32"/>
      <c r="F109" s="13">
        <v>3080</v>
      </c>
      <c r="G109" s="13" t="s">
        <v>112</v>
      </c>
      <c r="H109" s="33">
        <f>(12971.6+12971.6+12971.6+13263.4+13263.4+13263.4+13615.8+13615.8+13615.8+14044.6+14044.6+14044.6)/F109</f>
        <v>52.495519480519484</v>
      </c>
      <c r="I109" s="33">
        <f t="shared" ref="I109:I110" si="5">F109*H109</f>
        <v>161686.20000000001</v>
      </c>
      <c r="J109" s="13" t="s">
        <v>115</v>
      </c>
      <c r="L109" s="2"/>
    </row>
    <row r="110" spans="1:12" ht="46.5" customHeight="1" x14ac:dyDescent="0.25">
      <c r="A110" s="9"/>
      <c r="B110" s="8"/>
      <c r="C110" s="4"/>
      <c r="D110" s="15" t="s">
        <v>111</v>
      </c>
      <c r="E110" s="32"/>
      <c r="F110" s="13">
        <f>9990</f>
        <v>9990</v>
      </c>
      <c r="G110" s="13" t="s">
        <v>30</v>
      </c>
      <c r="H110" s="33">
        <f>834514/F110</f>
        <v>83.534934934934938</v>
      </c>
      <c r="I110" s="33">
        <f t="shared" si="5"/>
        <v>834514</v>
      </c>
      <c r="J110" s="13" t="s">
        <v>117</v>
      </c>
      <c r="L110" s="2"/>
    </row>
    <row r="111" spans="1:12" ht="46.5" customHeight="1" x14ac:dyDescent="0.25">
      <c r="A111" s="9"/>
      <c r="B111" s="8"/>
      <c r="C111" s="4"/>
      <c r="D111" s="15" t="s">
        <v>158</v>
      </c>
      <c r="E111" s="41"/>
      <c r="F111" s="41">
        <f>1+2+3+3+4</f>
        <v>13</v>
      </c>
      <c r="G111" s="13" t="s">
        <v>31</v>
      </c>
      <c r="H111" s="45">
        <f>(1292.8+2584.2+3961+4090.8+5599.6)/F111</f>
        <v>1348.3384615384616</v>
      </c>
      <c r="I111" s="41">
        <f>F111*H111</f>
        <v>17528.400000000001</v>
      </c>
      <c r="J111" s="13" t="s">
        <v>210</v>
      </c>
      <c r="L111" s="2"/>
    </row>
    <row r="112" spans="1:12" ht="46.5" customHeight="1" x14ac:dyDescent="0.25">
      <c r="A112" s="9"/>
      <c r="B112" s="8"/>
      <c r="C112" s="4"/>
      <c r="D112" s="15" t="s">
        <v>211</v>
      </c>
      <c r="E112" s="41"/>
      <c r="F112" s="41">
        <f>1+4+6+2</f>
        <v>13</v>
      </c>
      <c r="G112" s="13" t="s">
        <v>31</v>
      </c>
      <c r="H112" s="45">
        <f>(1745+6970.6+7924.6+3684.2)/F112</f>
        <v>1563.4153846153847</v>
      </c>
      <c r="I112" s="41">
        <f>F112*H112</f>
        <v>20324.400000000001</v>
      </c>
      <c r="J112" s="13" t="s">
        <v>210</v>
      </c>
      <c r="L112" s="2"/>
    </row>
    <row r="113" spans="1:12" ht="46.5" customHeight="1" x14ac:dyDescent="0.25">
      <c r="A113" s="9"/>
      <c r="B113" s="8"/>
      <c r="C113" s="4"/>
      <c r="D113" s="15" t="s">
        <v>236</v>
      </c>
      <c r="E113" s="41" t="s">
        <v>139</v>
      </c>
      <c r="F113" s="41">
        <f>2</f>
        <v>2</v>
      </c>
      <c r="G113" s="13" t="s">
        <v>31</v>
      </c>
      <c r="H113" s="41">
        <f>3684.2/F113</f>
        <v>1842.1</v>
      </c>
      <c r="I113" s="58">
        <f>F113*H113</f>
        <v>3684.2</v>
      </c>
      <c r="J113" s="13" t="s">
        <v>117</v>
      </c>
      <c r="L113" s="2"/>
    </row>
    <row r="114" spans="1:12" ht="46.5" customHeight="1" x14ac:dyDescent="0.25">
      <c r="A114" s="9"/>
      <c r="B114" s="8"/>
      <c r="C114" s="4"/>
      <c r="D114" s="15" t="s">
        <v>221</v>
      </c>
      <c r="E114" s="41" t="s">
        <v>139</v>
      </c>
      <c r="F114" s="41" t="s">
        <v>139</v>
      </c>
      <c r="G114" s="13" t="s">
        <v>31</v>
      </c>
      <c r="H114" s="41" t="s">
        <v>139</v>
      </c>
      <c r="I114" s="41" t="s">
        <v>139</v>
      </c>
      <c r="J114" s="13"/>
      <c r="L114" s="2"/>
    </row>
    <row r="115" spans="1:12" ht="46.5" customHeight="1" x14ac:dyDescent="0.25">
      <c r="A115" s="9"/>
      <c r="B115" s="8"/>
      <c r="C115" s="4"/>
      <c r="D115" s="15" t="s">
        <v>157</v>
      </c>
      <c r="E115" s="41" t="s">
        <v>139</v>
      </c>
      <c r="F115" s="41" t="s">
        <v>139</v>
      </c>
      <c r="G115" s="13" t="s">
        <v>31</v>
      </c>
      <c r="H115" s="41" t="s">
        <v>139</v>
      </c>
      <c r="I115" s="41" t="s">
        <v>139</v>
      </c>
      <c r="J115" s="13"/>
      <c r="L115" s="2"/>
    </row>
    <row r="116" spans="1:12" ht="46.5" customHeight="1" x14ac:dyDescent="0.25">
      <c r="A116" s="9"/>
      <c r="B116" s="8"/>
      <c r="C116" s="4"/>
      <c r="D116" s="15" t="s">
        <v>175</v>
      </c>
      <c r="E116" s="41" t="s">
        <v>139</v>
      </c>
      <c r="F116" s="41" t="s">
        <v>139</v>
      </c>
      <c r="G116" s="13" t="s">
        <v>31</v>
      </c>
      <c r="H116" s="41" t="s">
        <v>139</v>
      </c>
      <c r="I116" s="41" t="s">
        <v>139</v>
      </c>
      <c r="J116" s="13"/>
      <c r="L116" s="2"/>
    </row>
    <row r="117" spans="1:12" ht="46.5" customHeight="1" x14ac:dyDescent="0.25">
      <c r="A117" s="9"/>
      <c r="B117" s="8"/>
      <c r="C117" s="4"/>
      <c r="D117" s="15" t="s">
        <v>176</v>
      </c>
      <c r="E117" s="41" t="s">
        <v>139</v>
      </c>
      <c r="F117" s="41" t="s">
        <v>139</v>
      </c>
      <c r="G117" s="13" t="s">
        <v>31</v>
      </c>
      <c r="H117" s="41" t="s">
        <v>139</v>
      </c>
      <c r="I117" s="41" t="s">
        <v>139</v>
      </c>
      <c r="J117" s="13"/>
      <c r="L117" s="2"/>
    </row>
    <row r="118" spans="1:12" ht="46.5" customHeight="1" x14ac:dyDescent="0.25">
      <c r="A118" s="9"/>
      <c r="B118" s="8"/>
      <c r="C118" s="4"/>
      <c r="D118" s="15" t="s">
        <v>179</v>
      </c>
      <c r="E118" s="41" t="s">
        <v>139</v>
      </c>
      <c r="F118" s="41" t="s">
        <v>139</v>
      </c>
      <c r="G118" s="13" t="s">
        <v>30</v>
      </c>
      <c r="H118" s="41" t="s">
        <v>139</v>
      </c>
      <c r="I118" s="41" t="s">
        <v>139</v>
      </c>
      <c r="J118" s="13"/>
      <c r="L118" s="2"/>
    </row>
    <row r="119" spans="1:12" ht="46.5" customHeight="1" x14ac:dyDescent="0.25">
      <c r="A119" s="9"/>
      <c r="B119" s="8"/>
      <c r="C119" s="4"/>
      <c r="D119" s="15" t="s">
        <v>169</v>
      </c>
      <c r="E119" s="41"/>
      <c r="F119" s="41"/>
      <c r="G119" s="13" t="s">
        <v>154</v>
      </c>
      <c r="H119" s="41"/>
      <c r="I119" s="41"/>
      <c r="J119" s="13"/>
      <c r="L119" s="2"/>
    </row>
    <row r="120" spans="1:12" ht="46.5" customHeight="1" x14ac:dyDescent="0.25">
      <c r="A120" s="9"/>
      <c r="B120" s="8"/>
      <c r="C120" s="4"/>
      <c r="D120" s="15" t="s">
        <v>132</v>
      </c>
      <c r="E120" s="41"/>
      <c r="F120" s="41"/>
      <c r="G120" s="13" t="s">
        <v>31</v>
      </c>
      <c r="H120" s="41"/>
      <c r="I120" s="41"/>
      <c r="J120" s="13"/>
      <c r="L120" s="2"/>
    </row>
    <row r="121" spans="1:12" ht="31.5" x14ac:dyDescent="0.25">
      <c r="A121" s="9" t="s">
        <v>83</v>
      </c>
      <c r="B121" s="8"/>
      <c r="C121" s="4"/>
      <c r="D121" s="15" t="s">
        <v>161</v>
      </c>
      <c r="E121" s="41" t="s">
        <v>139</v>
      </c>
      <c r="F121" s="41" t="s">
        <v>139</v>
      </c>
      <c r="G121" s="13" t="s">
        <v>54</v>
      </c>
      <c r="H121" s="41" t="s">
        <v>139</v>
      </c>
      <c r="I121" s="41" t="s">
        <v>139</v>
      </c>
      <c r="J121" s="13"/>
      <c r="L121" s="2"/>
    </row>
    <row r="122" spans="1:12" ht="31.5" x14ac:dyDescent="0.25">
      <c r="A122" s="9"/>
      <c r="B122" s="8"/>
      <c r="C122" s="4"/>
      <c r="D122" s="15" t="s">
        <v>162</v>
      </c>
      <c r="E122" s="41" t="s">
        <v>139</v>
      </c>
      <c r="F122" s="41" t="s">
        <v>139</v>
      </c>
      <c r="G122" s="13" t="s">
        <v>54</v>
      </c>
      <c r="H122" s="41" t="s">
        <v>139</v>
      </c>
      <c r="I122" s="41" t="s">
        <v>139</v>
      </c>
      <c r="J122" s="13"/>
      <c r="L122" s="2"/>
    </row>
    <row r="123" spans="1:12" ht="18.75" x14ac:dyDescent="0.25">
      <c r="A123" s="9"/>
      <c r="B123" s="8"/>
      <c r="C123" s="4"/>
      <c r="D123" s="15" t="s">
        <v>188</v>
      </c>
      <c r="E123" s="41" t="s">
        <v>139</v>
      </c>
      <c r="F123" s="41" t="s">
        <v>139</v>
      </c>
      <c r="G123" s="13" t="s">
        <v>31</v>
      </c>
      <c r="H123" s="41" t="s">
        <v>139</v>
      </c>
      <c r="I123" s="41" t="s">
        <v>139</v>
      </c>
      <c r="J123" s="13"/>
      <c r="L123" s="2"/>
    </row>
    <row r="124" spans="1:12" ht="18.75" x14ac:dyDescent="0.25">
      <c r="A124" s="9"/>
      <c r="B124" s="8"/>
      <c r="C124" s="4"/>
      <c r="D124" s="15" t="s">
        <v>153</v>
      </c>
      <c r="E124" s="41" t="s">
        <v>139</v>
      </c>
      <c r="F124" s="41" t="s">
        <v>139</v>
      </c>
      <c r="G124" s="13" t="s">
        <v>31</v>
      </c>
      <c r="H124" s="41" t="s">
        <v>139</v>
      </c>
      <c r="I124" s="41" t="s">
        <v>139</v>
      </c>
      <c r="J124" s="13"/>
      <c r="L124" s="2"/>
    </row>
    <row r="125" spans="1:12" ht="18.75" x14ac:dyDescent="0.25">
      <c r="A125" s="9"/>
      <c r="B125" s="8"/>
      <c r="C125" s="4"/>
      <c r="D125" s="15" t="s">
        <v>189</v>
      </c>
      <c r="E125" s="41" t="s">
        <v>139</v>
      </c>
      <c r="F125" s="41" t="s">
        <v>139</v>
      </c>
      <c r="G125" s="13" t="s">
        <v>31</v>
      </c>
      <c r="H125" s="41" t="s">
        <v>139</v>
      </c>
      <c r="I125" s="41" t="s">
        <v>139</v>
      </c>
      <c r="J125" s="13"/>
      <c r="L125" s="2"/>
    </row>
    <row r="126" spans="1:12" ht="18.75" x14ac:dyDescent="0.25">
      <c r="A126" s="9"/>
      <c r="B126" s="8"/>
      <c r="C126" s="4"/>
      <c r="D126" s="15" t="s">
        <v>190</v>
      </c>
      <c r="E126" s="41" t="s">
        <v>139</v>
      </c>
      <c r="F126" s="41" t="s">
        <v>139</v>
      </c>
      <c r="G126" s="13" t="s">
        <v>31</v>
      </c>
      <c r="H126" s="41" t="s">
        <v>139</v>
      </c>
      <c r="I126" s="41" t="s">
        <v>139</v>
      </c>
      <c r="J126" s="13"/>
      <c r="L126" s="2"/>
    </row>
    <row r="127" spans="1:12" ht="31.5" x14ac:dyDescent="0.25">
      <c r="A127" s="9"/>
      <c r="B127" s="8"/>
      <c r="C127" s="4"/>
      <c r="D127" s="15" t="s">
        <v>222</v>
      </c>
      <c r="E127" s="41" t="s">
        <v>139</v>
      </c>
      <c r="F127" s="41">
        <f>1</f>
        <v>1</v>
      </c>
      <c r="G127" s="13" t="s">
        <v>170</v>
      </c>
      <c r="H127" s="41">
        <f>2498.2/F127</f>
        <v>2498.1999999999998</v>
      </c>
      <c r="I127" s="58">
        <f>F127*H127</f>
        <v>2498.1999999999998</v>
      </c>
      <c r="J127" s="13" t="s">
        <v>122</v>
      </c>
      <c r="L127" s="2"/>
    </row>
    <row r="128" spans="1:12" ht="18.75" x14ac:dyDescent="0.25">
      <c r="A128" s="9"/>
      <c r="B128" s="8"/>
      <c r="C128" s="4"/>
      <c r="D128" s="15" t="s">
        <v>198</v>
      </c>
      <c r="E128" s="41"/>
      <c r="F128" s="41"/>
      <c r="G128" s="13" t="s">
        <v>31</v>
      </c>
      <c r="H128" s="41"/>
      <c r="I128" s="41"/>
      <c r="J128" s="13"/>
      <c r="L128" s="2"/>
    </row>
    <row r="129" spans="1:12" ht="18.75" x14ac:dyDescent="0.25">
      <c r="A129" s="9"/>
      <c r="B129" s="8"/>
      <c r="C129" s="4"/>
      <c r="D129" s="15" t="s">
        <v>163</v>
      </c>
      <c r="E129" s="41" t="s">
        <v>139</v>
      </c>
      <c r="F129" s="41" t="s">
        <v>139</v>
      </c>
      <c r="G129" s="13" t="s">
        <v>164</v>
      </c>
      <c r="H129" s="41" t="s">
        <v>139</v>
      </c>
      <c r="I129" s="41" t="s">
        <v>139</v>
      </c>
      <c r="J129" s="13"/>
      <c r="L129" s="2"/>
    </row>
    <row r="130" spans="1:12" ht="18.75" x14ac:dyDescent="0.25">
      <c r="A130" s="9" t="s">
        <v>20</v>
      </c>
      <c r="B130" s="8"/>
      <c r="C130" s="4"/>
      <c r="D130" s="15" t="s">
        <v>68</v>
      </c>
      <c r="E130" s="41" t="s">
        <v>139</v>
      </c>
      <c r="F130" s="41" t="s">
        <v>139</v>
      </c>
      <c r="G130" s="13" t="s">
        <v>30</v>
      </c>
      <c r="H130" s="41" t="s">
        <v>139</v>
      </c>
      <c r="I130" s="41" t="s">
        <v>139</v>
      </c>
      <c r="J130" s="13"/>
      <c r="L130" s="2"/>
    </row>
    <row r="131" spans="1:12" ht="31.5" x14ac:dyDescent="0.25">
      <c r="A131" s="9" t="s">
        <v>21</v>
      </c>
      <c r="B131" s="8"/>
      <c r="C131" s="4"/>
      <c r="D131" s="15" t="s">
        <v>70</v>
      </c>
      <c r="E131" s="41" t="s">
        <v>139</v>
      </c>
      <c r="F131" s="41" t="s">
        <v>139</v>
      </c>
      <c r="G131" s="13" t="s">
        <v>54</v>
      </c>
      <c r="H131" s="41" t="s">
        <v>139</v>
      </c>
      <c r="I131" s="41" t="s">
        <v>139</v>
      </c>
      <c r="J131" s="13"/>
      <c r="L131" s="2"/>
    </row>
    <row r="132" spans="1:12" ht="18.75" x14ac:dyDescent="0.25">
      <c r="A132" s="47"/>
      <c r="B132" s="48"/>
      <c r="C132" s="22"/>
      <c r="D132" s="30"/>
      <c r="E132" s="46"/>
      <c r="F132" s="46"/>
      <c r="G132" s="31"/>
      <c r="H132" s="41"/>
      <c r="I132" s="45">
        <f>SUM(I106:I131)</f>
        <v>1048010</v>
      </c>
      <c r="J132" s="13"/>
      <c r="L132" s="2"/>
    </row>
    <row r="133" spans="1:12" ht="18.75" x14ac:dyDescent="0.3">
      <c r="A133" s="70" t="s">
        <v>71</v>
      </c>
      <c r="B133" s="71"/>
      <c r="C133" s="71"/>
      <c r="D133" s="71"/>
      <c r="E133" s="71"/>
      <c r="F133" s="71"/>
      <c r="G133" s="72"/>
      <c r="H133" s="19"/>
      <c r="I133" s="5"/>
      <c r="J133" s="13"/>
      <c r="L133" s="2"/>
    </row>
    <row r="134" spans="1:12" ht="37.5" x14ac:dyDescent="0.25">
      <c r="A134" s="9" t="s">
        <v>91</v>
      </c>
      <c r="B134" s="8"/>
      <c r="C134" s="4"/>
      <c r="D134" s="4" t="s">
        <v>127</v>
      </c>
      <c r="E134" s="31"/>
      <c r="F134" s="13">
        <f>12+12+6+4+8+6+6+6+4+12+6+12</f>
        <v>94</v>
      </c>
      <c r="G134" s="13" t="s">
        <v>114</v>
      </c>
      <c r="H134" s="33">
        <f>(7580.2+7580.2+3790.8+2584.8+5167.8+3876.4+3978.4+3978.4+2653.4+8209+4103+8209)/F134/3</f>
        <v>218.83475177304965</v>
      </c>
      <c r="I134" s="33">
        <f t="shared" ref="I134" si="6">F134*H134</f>
        <v>20570.466666666667</v>
      </c>
      <c r="J134" s="13" t="s">
        <v>115</v>
      </c>
      <c r="L134" s="2"/>
    </row>
    <row r="135" spans="1:12" ht="18.75" x14ac:dyDescent="0.25">
      <c r="A135" s="9"/>
      <c r="B135" s="8"/>
      <c r="C135" s="4"/>
      <c r="D135" s="15" t="s">
        <v>176</v>
      </c>
      <c r="E135" s="41"/>
      <c r="F135" s="41"/>
      <c r="G135" s="13" t="s">
        <v>31</v>
      </c>
      <c r="H135" s="41" t="s">
        <v>139</v>
      </c>
      <c r="I135" s="41" t="s">
        <v>139</v>
      </c>
      <c r="J135" s="13"/>
      <c r="L135" s="2"/>
    </row>
    <row r="136" spans="1:12" ht="18.75" x14ac:dyDescent="0.25">
      <c r="A136" s="9"/>
      <c r="B136" s="8"/>
      <c r="C136" s="4"/>
      <c r="D136" s="15" t="s">
        <v>159</v>
      </c>
      <c r="E136" s="41"/>
      <c r="F136" s="41"/>
      <c r="G136" s="13" t="s">
        <v>31</v>
      </c>
      <c r="H136" s="41" t="s">
        <v>139</v>
      </c>
      <c r="I136" s="41" t="s">
        <v>139</v>
      </c>
      <c r="J136" s="13"/>
      <c r="L136" s="2"/>
    </row>
    <row r="137" spans="1:12" ht="31.5" x14ac:dyDescent="0.25">
      <c r="A137" s="9"/>
      <c r="B137" s="8"/>
      <c r="C137" s="4"/>
      <c r="D137" s="15" t="s">
        <v>215</v>
      </c>
      <c r="E137" s="41"/>
      <c r="F137" s="41">
        <v>1</v>
      </c>
      <c r="G137" s="13" t="s">
        <v>154</v>
      </c>
      <c r="H137" s="41">
        <f>129.4/F137</f>
        <v>129.4</v>
      </c>
      <c r="I137" s="58">
        <f>F137*H137</f>
        <v>129.4</v>
      </c>
      <c r="J137" s="13" t="s">
        <v>210</v>
      </c>
      <c r="L137" s="2"/>
    </row>
    <row r="138" spans="1:12" ht="31.5" x14ac:dyDescent="0.25">
      <c r="A138" s="9"/>
      <c r="B138" s="8"/>
      <c r="C138" s="4"/>
      <c r="D138" s="15" t="s">
        <v>171</v>
      </c>
      <c r="E138" s="41"/>
      <c r="F138" s="41">
        <v>0.5</v>
      </c>
      <c r="G138" s="13" t="s">
        <v>30</v>
      </c>
      <c r="H138" s="41">
        <f>159.6/F138</f>
        <v>319.2</v>
      </c>
      <c r="I138" s="58">
        <f t="shared" ref="I138:I146" si="7">F138*H138</f>
        <v>159.6</v>
      </c>
      <c r="J138" s="13" t="s">
        <v>120</v>
      </c>
      <c r="L138" s="2"/>
    </row>
    <row r="139" spans="1:12" ht="78.75" x14ac:dyDescent="0.25">
      <c r="A139" s="9"/>
      <c r="B139" s="8"/>
      <c r="C139" s="4"/>
      <c r="D139" s="15" t="s">
        <v>293</v>
      </c>
      <c r="E139" s="41"/>
      <c r="F139" s="41">
        <v>2</v>
      </c>
      <c r="G139" s="13" t="s">
        <v>170</v>
      </c>
      <c r="H139" s="41">
        <f>68.4/F139</f>
        <v>34.200000000000003</v>
      </c>
      <c r="I139" s="58">
        <f t="shared" si="7"/>
        <v>68.400000000000006</v>
      </c>
      <c r="J139" s="13" t="s">
        <v>120</v>
      </c>
      <c r="L139" s="2"/>
    </row>
    <row r="140" spans="1:12" ht="47.25" x14ac:dyDescent="0.25">
      <c r="A140" s="9"/>
      <c r="B140" s="8"/>
      <c r="C140" s="4"/>
      <c r="D140" s="15" t="s">
        <v>294</v>
      </c>
      <c r="E140" s="41"/>
      <c r="F140" s="41">
        <f>0.5</f>
        <v>0.5</v>
      </c>
      <c r="G140" s="13" t="s">
        <v>30</v>
      </c>
      <c r="H140" s="41">
        <f>2845.2/F140</f>
        <v>5690.4</v>
      </c>
      <c r="I140" s="58">
        <f t="shared" si="7"/>
        <v>2845.2</v>
      </c>
      <c r="J140" s="13" t="s">
        <v>120</v>
      </c>
      <c r="L140" s="2"/>
    </row>
    <row r="141" spans="1:12" ht="63" x14ac:dyDescent="0.25">
      <c r="A141" s="9"/>
      <c r="B141" s="8"/>
      <c r="C141" s="4"/>
      <c r="D141" s="15" t="s">
        <v>298</v>
      </c>
      <c r="E141" s="41"/>
      <c r="F141" s="41">
        <f>2</f>
        <v>2</v>
      </c>
      <c r="G141" s="13" t="s">
        <v>149</v>
      </c>
      <c r="H141" s="41">
        <f>4114.2/F141</f>
        <v>2057.1</v>
      </c>
      <c r="I141" s="58">
        <f t="shared" si="7"/>
        <v>4114.2</v>
      </c>
      <c r="J141" s="13" t="s">
        <v>120</v>
      </c>
      <c r="L141" s="2"/>
    </row>
    <row r="142" spans="1:12" ht="31.5" x14ac:dyDescent="0.25">
      <c r="A142" s="9"/>
      <c r="B142" s="8"/>
      <c r="C142" s="4"/>
      <c r="D142" s="15" t="s">
        <v>292</v>
      </c>
      <c r="E142" s="41"/>
      <c r="F142" s="41">
        <v>2</v>
      </c>
      <c r="G142" s="13" t="s">
        <v>30</v>
      </c>
      <c r="H142" s="41">
        <f>2670.6/F142</f>
        <v>1335.3</v>
      </c>
      <c r="I142" s="59">
        <f t="shared" ref="I142" si="8">F142*H142</f>
        <v>2670.6</v>
      </c>
      <c r="J142" s="13"/>
      <c r="L142" s="2"/>
    </row>
    <row r="143" spans="1:12" ht="31.5" x14ac:dyDescent="0.25">
      <c r="A143" s="9"/>
      <c r="B143" s="8"/>
      <c r="C143" s="4"/>
      <c r="D143" s="15" t="s">
        <v>197</v>
      </c>
      <c r="E143" s="41"/>
      <c r="F143" s="41">
        <f>4</f>
        <v>4</v>
      </c>
      <c r="G143" s="13" t="s">
        <v>30</v>
      </c>
      <c r="H143" s="41">
        <f>5998.2/F143</f>
        <v>1499.55</v>
      </c>
      <c r="I143" s="59">
        <f t="shared" si="7"/>
        <v>5998.2</v>
      </c>
      <c r="J143" s="13" t="s">
        <v>117</v>
      </c>
      <c r="L143" s="2"/>
    </row>
    <row r="144" spans="1:12" ht="31.5" x14ac:dyDescent="0.25">
      <c r="A144" s="9"/>
      <c r="B144" s="8"/>
      <c r="C144" s="4"/>
      <c r="D144" s="15" t="s">
        <v>237</v>
      </c>
      <c r="E144" s="41"/>
      <c r="F144" s="41">
        <f>2</f>
        <v>2</v>
      </c>
      <c r="G144" s="13" t="s">
        <v>30</v>
      </c>
      <c r="H144" s="41">
        <f>2026/F144</f>
        <v>1013</v>
      </c>
      <c r="I144" s="58">
        <f t="shared" si="7"/>
        <v>2026</v>
      </c>
      <c r="J144" s="13" t="s">
        <v>117</v>
      </c>
      <c r="L144" s="2"/>
    </row>
    <row r="145" spans="1:12" ht="31.5" x14ac:dyDescent="0.25">
      <c r="A145" s="9"/>
      <c r="B145" s="8"/>
      <c r="C145" s="4"/>
      <c r="D145" s="15" t="s">
        <v>158</v>
      </c>
      <c r="E145" s="41"/>
      <c r="F145" s="41">
        <f>2</f>
        <v>2</v>
      </c>
      <c r="G145" s="13" t="s">
        <v>31</v>
      </c>
      <c r="H145" s="45">
        <f>2728.2/F145</f>
        <v>1364.1</v>
      </c>
      <c r="I145" s="41">
        <f>F145*H145</f>
        <v>2728.2</v>
      </c>
      <c r="J145" s="13" t="s">
        <v>117</v>
      </c>
      <c r="L145" s="2"/>
    </row>
    <row r="146" spans="1:12" ht="31.5" x14ac:dyDescent="0.25">
      <c r="A146" s="9"/>
      <c r="B146" s="8"/>
      <c r="C146" s="4"/>
      <c r="D146" s="15" t="s">
        <v>239</v>
      </c>
      <c r="E146" s="41"/>
      <c r="F146" s="41">
        <v>21</v>
      </c>
      <c r="G146" s="13" t="s">
        <v>30</v>
      </c>
      <c r="H146" s="45">
        <f>59233/F146</f>
        <v>2820.6190476190477</v>
      </c>
      <c r="I146" s="58">
        <f t="shared" si="7"/>
        <v>59233</v>
      </c>
      <c r="J146" s="13" t="s">
        <v>117</v>
      </c>
      <c r="L146" s="2"/>
    </row>
    <row r="147" spans="1:12" ht="31.5" x14ac:dyDescent="0.25">
      <c r="A147" s="9"/>
      <c r="B147" s="8"/>
      <c r="C147" s="4"/>
      <c r="D147" s="15" t="s">
        <v>158</v>
      </c>
      <c r="E147" s="41"/>
      <c r="F147" s="41">
        <f>1+3</f>
        <v>4</v>
      </c>
      <c r="G147" s="13" t="s">
        <v>31</v>
      </c>
      <c r="H147" s="45">
        <f>(1363.6+4199)/F147</f>
        <v>1390.65</v>
      </c>
      <c r="I147" s="41">
        <f>F147*H147</f>
        <v>5562.6</v>
      </c>
      <c r="J147" s="13" t="s">
        <v>120</v>
      </c>
      <c r="L147" s="2"/>
    </row>
    <row r="148" spans="1:12" ht="31.5" x14ac:dyDescent="0.25">
      <c r="A148" s="9"/>
      <c r="B148" s="8"/>
      <c r="C148" s="4"/>
      <c r="D148" s="15" t="s">
        <v>211</v>
      </c>
      <c r="E148" s="41"/>
      <c r="F148" s="41">
        <f>9+4</f>
        <v>13</v>
      </c>
      <c r="G148" s="13" t="s">
        <v>31</v>
      </c>
      <c r="H148" s="45">
        <f>(16969.4+7543.2)/F148</f>
        <v>1885.5846153846155</v>
      </c>
      <c r="I148" s="41">
        <f>F148*H148</f>
        <v>24512.600000000002</v>
      </c>
      <c r="J148" s="13" t="s">
        <v>120</v>
      </c>
      <c r="L148" s="2"/>
    </row>
    <row r="149" spans="1:12" ht="18.75" x14ac:dyDescent="0.25">
      <c r="A149" s="9" t="s">
        <v>83</v>
      </c>
      <c r="B149" s="8"/>
      <c r="C149" s="4"/>
      <c r="D149" s="15" t="s">
        <v>69</v>
      </c>
      <c r="E149" s="41"/>
      <c r="F149" s="41"/>
      <c r="G149" s="13" t="s">
        <v>54</v>
      </c>
      <c r="H149" s="41" t="s">
        <v>139</v>
      </c>
      <c r="I149" s="41" t="s">
        <v>139</v>
      </c>
      <c r="J149" s="13"/>
      <c r="L149" s="2"/>
    </row>
    <row r="150" spans="1:12" ht="47.25" x14ac:dyDescent="0.25">
      <c r="A150" s="9"/>
      <c r="B150" s="8"/>
      <c r="C150" s="4"/>
      <c r="D150" s="15" t="s">
        <v>238</v>
      </c>
      <c r="E150" s="41"/>
      <c r="F150" s="41">
        <f>2+1</f>
        <v>3</v>
      </c>
      <c r="G150" s="13" t="s">
        <v>31</v>
      </c>
      <c r="H150" s="45">
        <f>(2175+1259)/F150</f>
        <v>1144.6666666666667</v>
      </c>
      <c r="I150" s="58">
        <f>F150*H150</f>
        <v>3434</v>
      </c>
      <c r="J150" s="13" t="s">
        <v>117</v>
      </c>
      <c r="L150" s="2"/>
    </row>
    <row r="151" spans="1:12" ht="47.25" x14ac:dyDescent="0.25">
      <c r="A151" s="9"/>
      <c r="B151" s="8"/>
      <c r="C151" s="4"/>
      <c r="D151" s="15" t="s">
        <v>216</v>
      </c>
      <c r="E151" s="41"/>
      <c r="F151" s="41">
        <v>2</v>
      </c>
      <c r="G151" s="13" t="s">
        <v>31</v>
      </c>
      <c r="H151" s="41">
        <f>3388/F151</f>
        <v>1694</v>
      </c>
      <c r="I151" s="58">
        <f>F151*H151</f>
        <v>3388</v>
      </c>
      <c r="J151" s="13" t="s">
        <v>122</v>
      </c>
      <c r="L151" s="2"/>
    </row>
    <row r="152" spans="1:12" ht="31.5" x14ac:dyDescent="0.25">
      <c r="A152" s="9" t="s">
        <v>21</v>
      </c>
      <c r="B152" s="8"/>
      <c r="C152" s="4"/>
      <c r="D152" s="15" t="s">
        <v>70</v>
      </c>
      <c r="E152" s="41"/>
      <c r="F152" s="41"/>
      <c r="G152" s="13" t="s">
        <v>143</v>
      </c>
      <c r="H152" s="41" t="s">
        <v>139</v>
      </c>
      <c r="I152" s="41" t="s">
        <v>139</v>
      </c>
      <c r="J152" s="13"/>
      <c r="L152" s="2"/>
    </row>
    <row r="153" spans="1:12" ht="18.75" x14ac:dyDescent="0.25">
      <c r="A153" s="47"/>
      <c r="B153" s="48"/>
      <c r="C153" s="22"/>
      <c r="D153" s="30"/>
      <c r="E153" s="46"/>
      <c r="F153" s="46"/>
      <c r="G153" s="31"/>
      <c r="H153" s="41"/>
      <c r="I153" s="45">
        <f>SUM(I134:I152)</f>
        <v>137440.46666666667</v>
      </c>
      <c r="J153" s="13"/>
      <c r="L153" s="2"/>
    </row>
    <row r="154" spans="1:12" ht="18.75" x14ac:dyDescent="0.3">
      <c r="A154" s="70" t="s">
        <v>72</v>
      </c>
      <c r="B154" s="71"/>
      <c r="C154" s="71"/>
      <c r="D154" s="71"/>
      <c r="E154" s="71"/>
      <c r="F154" s="71"/>
      <c r="G154" s="72"/>
      <c r="H154" s="13"/>
      <c r="I154" s="5"/>
      <c r="J154" s="13"/>
      <c r="L154" s="2"/>
    </row>
    <row r="155" spans="1:12" ht="37.5" x14ac:dyDescent="0.25">
      <c r="A155" s="9" t="s">
        <v>91</v>
      </c>
      <c r="B155" s="8"/>
      <c r="C155" s="4"/>
      <c r="D155" s="4" t="s">
        <v>128</v>
      </c>
      <c r="E155" s="31"/>
      <c r="F155" s="13">
        <f>12+12+6+4+8+6+6+6+4+12+6+12</f>
        <v>94</v>
      </c>
      <c r="G155" s="13" t="s">
        <v>114</v>
      </c>
      <c r="H155" s="33">
        <f>(7580.2+7580.2+3790.8+2584.8+5167.8+3876.4+3978.4+3978.4+2653.4+8209+4103+8209)/F155/3</f>
        <v>218.83475177304965</v>
      </c>
      <c r="I155" s="33">
        <f t="shared" ref="I155" si="9">F155*H155</f>
        <v>20570.466666666667</v>
      </c>
      <c r="J155" s="13" t="s">
        <v>115</v>
      </c>
      <c r="L155" s="2"/>
    </row>
    <row r="156" spans="1:12" ht="31.5" x14ac:dyDescent="0.25">
      <c r="A156" s="9"/>
      <c r="B156" s="8"/>
      <c r="C156" s="4"/>
      <c r="D156" s="15" t="s">
        <v>171</v>
      </c>
      <c r="E156" s="41"/>
      <c r="F156" s="41">
        <f>36</f>
        <v>36</v>
      </c>
      <c r="G156" s="13" t="s">
        <v>30</v>
      </c>
      <c r="H156" s="45">
        <f>10803.2/F156</f>
        <v>300.0888888888889</v>
      </c>
      <c r="I156" s="58">
        <f>F156*H156</f>
        <v>10803.2</v>
      </c>
      <c r="J156" s="13" t="s">
        <v>122</v>
      </c>
      <c r="L156" s="2"/>
    </row>
    <row r="157" spans="1:12" ht="78.75" x14ac:dyDescent="0.25">
      <c r="A157" s="9"/>
      <c r="B157" s="8"/>
      <c r="C157" s="4"/>
      <c r="D157" s="15" t="s">
        <v>199</v>
      </c>
      <c r="E157" s="41"/>
      <c r="F157" s="41">
        <f>28</f>
        <v>28</v>
      </c>
      <c r="G157" s="13" t="s">
        <v>170</v>
      </c>
      <c r="H157" s="45">
        <f>1114.6/F157</f>
        <v>39.807142857142857</v>
      </c>
      <c r="I157" s="58">
        <f>F157*H157</f>
        <v>1114.5999999999999</v>
      </c>
      <c r="J157" s="13" t="s">
        <v>122</v>
      </c>
      <c r="L157" s="2"/>
    </row>
    <row r="158" spans="1:12" ht="47.25" x14ac:dyDescent="0.25">
      <c r="A158" s="9"/>
      <c r="B158" s="8"/>
      <c r="C158" s="4"/>
      <c r="D158" s="15" t="s">
        <v>200</v>
      </c>
      <c r="E158" s="41"/>
      <c r="F158" s="41">
        <f>36</f>
        <v>36</v>
      </c>
      <c r="G158" s="13" t="s">
        <v>30</v>
      </c>
      <c r="H158" s="45">
        <f>21297.4/F158</f>
        <v>591.59444444444443</v>
      </c>
      <c r="I158" s="58">
        <f>F158*H158</f>
        <v>21297.4</v>
      </c>
      <c r="J158" s="13" t="s">
        <v>122</v>
      </c>
      <c r="L158" s="2"/>
    </row>
    <row r="159" spans="1:12" ht="31.5" x14ac:dyDescent="0.25">
      <c r="A159" s="9"/>
      <c r="B159" s="8"/>
      <c r="C159" s="4"/>
      <c r="D159" s="15" t="s">
        <v>172</v>
      </c>
      <c r="E159" s="41"/>
      <c r="F159" s="41"/>
      <c r="G159" s="13" t="s">
        <v>30</v>
      </c>
      <c r="H159" s="41" t="s">
        <v>139</v>
      </c>
      <c r="I159" s="41" t="s">
        <v>139</v>
      </c>
      <c r="J159" s="13"/>
      <c r="L159" s="2"/>
    </row>
    <row r="160" spans="1:12" ht="31.5" x14ac:dyDescent="0.25">
      <c r="A160" s="9"/>
      <c r="B160" s="8"/>
      <c r="C160" s="4"/>
      <c r="D160" s="15" t="s">
        <v>173</v>
      </c>
      <c r="E160" s="41"/>
      <c r="F160" s="41"/>
      <c r="G160" s="13" t="s">
        <v>30</v>
      </c>
      <c r="H160" s="41" t="s">
        <v>139</v>
      </c>
      <c r="I160" s="41" t="s">
        <v>139</v>
      </c>
      <c r="J160" s="13"/>
      <c r="L160" s="2"/>
    </row>
    <row r="161" spans="1:12" ht="31.5" x14ac:dyDescent="0.25">
      <c r="A161" s="9"/>
      <c r="B161" s="8"/>
      <c r="C161" s="4"/>
      <c r="D161" s="15" t="s">
        <v>168</v>
      </c>
      <c r="E161" s="41"/>
      <c r="F161" s="41">
        <f>32</f>
        <v>32</v>
      </c>
      <c r="G161" s="13" t="s">
        <v>154</v>
      </c>
      <c r="H161" s="41">
        <f>218200.6/F161</f>
        <v>6818.7687500000002</v>
      </c>
      <c r="I161" s="58">
        <f>F161*H161</f>
        <v>218200.6</v>
      </c>
      <c r="J161" s="13" t="s">
        <v>120</v>
      </c>
      <c r="L161" s="2"/>
    </row>
    <row r="162" spans="1:12" ht="18.75" x14ac:dyDescent="0.25">
      <c r="A162" s="9"/>
      <c r="B162" s="8"/>
      <c r="C162" s="4"/>
      <c r="D162" s="15" t="s">
        <v>183</v>
      </c>
      <c r="E162" s="41"/>
      <c r="F162" s="41"/>
      <c r="G162" s="13" t="s">
        <v>31</v>
      </c>
      <c r="H162" s="41" t="s">
        <v>139</v>
      </c>
      <c r="I162" s="41" t="s">
        <v>139</v>
      </c>
      <c r="J162" s="13"/>
      <c r="L162" s="2"/>
    </row>
    <row r="163" spans="1:12" ht="18.75" x14ac:dyDescent="0.25">
      <c r="A163" s="9"/>
      <c r="B163" s="8"/>
      <c r="C163" s="4"/>
      <c r="D163" s="15" t="s">
        <v>184</v>
      </c>
      <c r="E163" s="41" t="s">
        <v>139</v>
      </c>
      <c r="F163" s="41" t="s">
        <v>139</v>
      </c>
      <c r="G163" s="13" t="s">
        <v>31</v>
      </c>
      <c r="H163" s="41" t="s">
        <v>139</v>
      </c>
      <c r="I163" s="41" t="s">
        <v>139</v>
      </c>
      <c r="J163" s="13"/>
      <c r="L163" s="2"/>
    </row>
    <row r="164" spans="1:12" ht="18.75" x14ac:dyDescent="0.25">
      <c r="A164" s="9" t="s">
        <v>83</v>
      </c>
      <c r="B164" s="8"/>
      <c r="C164" s="4"/>
      <c r="D164" s="15" t="s">
        <v>69</v>
      </c>
      <c r="E164" s="41" t="s">
        <v>139</v>
      </c>
      <c r="F164" s="41" t="s">
        <v>139</v>
      </c>
      <c r="G164" s="14" t="s">
        <v>54</v>
      </c>
      <c r="H164" s="41" t="s">
        <v>139</v>
      </c>
      <c r="I164" s="41" t="s">
        <v>139</v>
      </c>
      <c r="J164" s="13"/>
      <c r="L164" s="2"/>
    </row>
    <row r="165" spans="1:12" ht="18.75" x14ac:dyDescent="0.25">
      <c r="A165" s="9"/>
      <c r="B165" s="8"/>
      <c r="C165" s="4"/>
      <c r="D165" s="15" t="s">
        <v>223</v>
      </c>
      <c r="E165" s="41"/>
      <c r="F165" s="41">
        <f>10</f>
        <v>10</v>
      </c>
      <c r="G165" s="14" t="s">
        <v>31</v>
      </c>
      <c r="H165" s="41">
        <f>39403.2/F165</f>
        <v>3940.3199999999997</v>
      </c>
      <c r="I165" s="58">
        <f>F165*H165</f>
        <v>39403.199999999997</v>
      </c>
      <c r="J165" s="13" t="s">
        <v>122</v>
      </c>
      <c r="L165" s="2"/>
    </row>
    <row r="166" spans="1:12" ht="31.5" x14ac:dyDescent="0.25">
      <c r="A166" s="9" t="s">
        <v>21</v>
      </c>
      <c r="B166" s="8"/>
      <c r="C166" s="4"/>
      <c r="D166" s="15" t="s">
        <v>70</v>
      </c>
      <c r="E166" s="41" t="s">
        <v>139</v>
      </c>
      <c r="F166" s="41" t="s">
        <v>139</v>
      </c>
      <c r="G166" s="14" t="s">
        <v>54</v>
      </c>
      <c r="H166" s="41" t="s">
        <v>139</v>
      </c>
      <c r="I166" s="41" t="s">
        <v>139</v>
      </c>
      <c r="J166" s="13"/>
      <c r="L166" s="2"/>
    </row>
    <row r="167" spans="1:12" ht="18.75" x14ac:dyDescent="0.25">
      <c r="A167" s="47"/>
      <c r="B167" s="48"/>
      <c r="C167" s="22"/>
      <c r="D167" s="30"/>
      <c r="E167" s="46"/>
      <c r="F167" s="46"/>
      <c r="G167" s="12"/>
      <c r="H167" s="41"/>
      <c r="I167" s="45">
        <f>SUM(I155:I166)</f>
        <v>311389.46666666667</v>
      </c>
      <c r="J167" s="13"/>
      <c r="L167" s="2"/>
    </row>
    <row r="168" spans="1:12" ht="18.75" x14ac:dyDescent="0.3">
      <c r="A168" s="70" t="s">
        <v>73</v>
      </c>
      <c r="B168" s="71"/>
      <c r="C168" s="71"/>
      <c r="D168" s="71"/>
      <c r="E168" s="71"/>
      <c r="F168" s="71"/>
      <c r="G168" s="72"/>
      <c r="H168" s="19"/>
      <c r="I168" s="5"/>
      <c r="J168" s="13"/>
      <c r="L168" s="2"/>
    </row>
    <row r="169" spans="1:12" ht="37.5" x14ac:dyDescent="0.25">
      <c r="A169" s="9" t="s">
        <v>97</v>
      </c>
      <c r="B169" s="8"/>
      <c r="C169" s="4"/>
      <c r="D169" s="4" t="s">
        <v>129</v>
      </c>
      <c r="E169" s="31"/>
      <c r="F169" s="13">
        <f>12+12+6+4+8+6+6+6+4+12+6+12</f>
        <v>94</v>
      </c>
      <c r="G169" s="13" t="s">
        <v>114</v>
      </c>
      <c r="H169" s="33">
        <f>(7580.2+7580.2+3790.8+2584.8+5167.8+3876.4+3978.4+3978.4+2653.4+8209+4103+8209)/F169/3</f>
        <v>218.83475177304965</v>
      </c>
      <c r="I169" s="33">
        <f t="shared" ref="I169:I173" si="10">F169*H169</f>
        <v>20570.466666666667</v>
      </c>
      <c r="J169" s="13" t="s">
        <v>115</v>
      </c>
      <c r="L169" s="2"/>
    </row>
    <row r="170" spans="1:12" ht="31.5" x14ac:dyDescent="0.25">
      <c r="A170" s="9"/>
      <c r="B170" s="8"/>
      <c r="C170" s="4"/>
      <c r="D170" s="15" t="s">
        <v>201</v>
      </c>
      <c r="E170" s="41"/>
      <c r="F170" s="41">
        <f>3.5</f>
        <v>3.5</v>
      </c>
      <c r="G170" s="13" t="s">
        <v>30</v>
      </c>
      <c r="H170" s="45">
        <f>3089.6/F170</f>
        <v>882.74285714285713</v>
      </c>
      <c r="I170" s="58">
        <f t="shared" si="10"/>
        <v>3089.6</v>
      </c>
      <c r="J170" s="13" t="s">
        <v>122</v>
      </c>
      <c r="L170" s="2"/>
    </row>
    <row r="171" spans="1:12" ht="31.5" x14ac:dyDescent="0.25">
      <c r="A171" s="9"/>
      <c r="B171" s="8"/>
      <c r="C171" s="4"/>
      <c r="D171" s="15" t="s">
        <v>121</v>
      </c>
      <c r="E171" s="41"/>
      <c r="F171" s="41">
        <f>2+3+1.5</f>
        <v>6.5</v>
      </c>
      <c r="G171" s="13" t="s">
        <v>30</v>
      </c>
      <c r="H171" s="45">
        <f>(2495.8+3747.6+1906.4)/F171</f>
        <v>1253.8153846153846</v>
      </c>
      <c r="I171" s="58">
        <f t="shared" si="10"/>
        <v>8149.7999999999993</v>
      </c>
      <c r="J171" s="13" t="s">
        <v>117</v>
      </c>
      <c r="L171" s="2"/>
    </row>
    <row r="172" spans="1:12" ht="18.75" x14ac:dyDescent="0.25">
      <c r="A172" s="9"/>
      <c r="B172" s="8"/>
      <c r="C172" s="4"/>
      <c r="D172" s="4" t="s">
        <v>113</v>
      </c>
      <c r="E172" s="41"/>
      <c r="F172" s="41">
        <f>12+24+12+28+24+28+16+12+12+24+12</f>
        <v>204</v>
      </c>
      <c r="G172" s="13" t="s">
        <v>30</v>
      </c>
      <c r="H172" s="45">
        <f>(3613.2+7225.6+3613.2+8618+7383.8+8864+5063+3796.8+3911+7824.4+3911)/F172</f>
        <v>312.86274509803923</v>
      </c>
      <c r="I172" s="41">
        <f t="shared" si="10"/>
        <v>63824</v>
      </c>
      <c r="J172" s="13" t="s">
        <v>115</v>
      </c>
      <c r="L172" s="2"/>
    </row>
    <row r="173" spans="1:12" ht="31.5" x14ac:dyDescent="0.25">
      <c r="A173" s="9"/>
      <c r="B173" s="8"/>
      <c r="C173" s="4"/>
      <c r="D173" s="15" t="s">
        <v>226</v>
      </c>
      <c r="E173" s="41"/>
      <c r="F173" s="41">
        <f>3</f>
        <v>3</v>
      </c>
      <c r="G173" s="13" t="s">
        <v>30</v>
      </c>
      <c r="H173" s="45">
        <f>11247.6/F173</f>
        <v>3749.2000000000003</v>
      </c>
      <c r="I173" s="58">
        <f t="shared" si="10"/>
        <v>11247.6</v>
      </c>
      <c r="J173" s="13" t="s">
        <v>117</v>
      </c>
      <c r="L173" s="2"/>
    </row>
    <row r="174" spans="1:12" ht="31.5" x14ac:dyDescent="0.25">
      <c r="A174" s="9"/>
      <c r="B174" s="8"/>
      <c r="C174" s="4"/>
      <c r="D174" s="15" t="s">
        <v>262</v>
      </c>
      <c r="E174" s="41"/>
      <c r="F174" s="41">
        <f>1</f>
        <v>1</v>
      </c>
      <c r="G174" s="13" t="s">
        <v>30</v>
      </c>
      <c r="H174" s="41">
        <f>2044/F174</f>
        <v>2044</v>
      </c>
      <c r="I174" s="58">
        <f>F174*H174</f>
        <v>2044</v>
      </c>
      <c r="J174" s="13" t="s">
        <v>120</v>
      </c>
      <c r="L174" s="2"/>
    </row>
    <row r="175" spans="1:12" ht="47.25" x14ac:dyDescent="0.25">
      <c r="A175" s="9"/>
      <c r="B175" s="8"/>
      <c r="C175" s="4"/>
      <c r="D175" s="15" t="s">
        <v>196</v>
      </c>
      <c r="E175" s="41"/>
      <c r="F175" s="41"/>
      <c r="G175" s="13" t="s">
        <v>30</v>
      </c>
      <c r="H175" s="41"/>
      <c r="I175" s="41"/>
      <c r="J175" s="13"/>
      <c r="L175" s="2"/>
    </row>
    <row r="176" spans="1:12" ht="18.75" x14ac:dyDescent="0.25">
      <c r="A176" s="9"/>
      <c r="B176" s="8"/>
      <c r="C176" s="4"/>
      <c r="D176" s="4" t="s">
        <v>156</v>
      </c>
      <c r="E176" s="41"/>
      <c r="F176" s="41"/>
      <c r="G176" s="13" t="s">
        <v>30</v>
      </c>
      <c r="H176" s="41" t="s">
        <v>139</v>
      </c>
      <c r="I176" s="41" t="s">
        <v>139</v>
      </c>
      <c r="J176" s="13"/>
      <c r="L176" s="2"/>
    </row>
    <row r="177" spans="1:12" ht="18.75" x14ac:dyDescent="0.25">
      <c r="A177" s="9"/>
      <c r="B177" s="8"/>
      <c r="C177" s="4"/>
      <c r="D177" s="4" t="s">
        <v>177</v>
      </c>
      <c r="E177" s="41" t="s">
        <v>139</v>
      </c>
      <c r="F177" s="41" t="s">
        <v>139</v>
      </c>
      <c r="G177" s="13" t="s">
        <v>136</v>
      </c>
      <c r="H177" s="41" t="s">
        <v>139</v>
      </c>
      <c r="I177" s="41" t="s">
        <v>139</v>
      </c>
      <c r="J177" s="13"/>
      <c r="L177" s="2"/>
    </row>
    <row r="178" spans="1:12" ht="18.75" x14ac:dyDescent="0.25">
      <c r="A178" s="9"/>
      <c r="B178" s="8"/>
      <c r="C178" s="4"/>
      <c r="D178" s="4" t="s">
        <v>178</v>
      </c>
      <c r="E178" s="41" t="s">
        <v>139</v>
      </c>
      <c r="F178" s="41" t="s">
        <v>139</v>
      </c>
      <c r="G178" s="13" t="s">
        <v>136</v>
      </c>
      <c r="H178" s="41" t="s">
        <v>139</v>
      </c>
      <c r="I178" s="41" t="s">
        <v>139</v>
      </c>
      <c r="J178" s="13"/>
      <c r="L178" s="2"/>
    </row>
    <row r="179" spans="1:12" ht="18.75" x14ac:dyDescent="0.25">
      <c r="A179" s="9" t="s">
        <v>22</v>
      </c>
      <c r="B179" s="8"/>
      <c r="C179" s="4"/>
      <c r="D179" s="4" t="s">
        <v>76</v>
      </c>
      <c r="E179" s="41" t="s">
        <v>139</v>
      </c>
      <c r="F179" s="41" t="s">
        <v>139</v>
      </c>
      <c r="G179" s="13" t="s">
        <v>30</v>
      </c>
      <c r="H179" s="41" t="s">
        <v>139</v>
      </c>
      <c r="I179" s="41" t="s">
        <v>139</v>
      </c>
      <c r="J179" s="13"/>
      <c r="L179" s="2"/>
    </row>
    <row r="180" spans="1:12" ht="18.75" x14ac:dyDescent="0.25">
      <c r="A180" s="47"/>
      <c r="B180" s="48"/>
      <c r="C180" s="22"/>
      <c r="D180" s="22"/>
      <c r="E180" s="46"/>
      <c r="F180" s="46"/>
      <c r="G180" s="31"/>
      <c r="H180" s="41"/>
      <c r="I180" s="45">
        <f>SUM(I169:I179)</f>
        <v>108925.46666666667</v>
      </c>
      <c r="J180" s="13"/>
      <c r="L180" s="2"/>
    </row>
    <row r="181" spans="1:12" ht="18.75" x14ac:dyDescent="0.3">
      <c r="A181" s="70" t="s">
        <v>78</v>
      </c>
      <c r="B181" s="71"/>
      <c r="C181" s="71"/>
      <c r="D181" s="71"/>
      <c r="E181" s="71"/>
      <c r="F181" s="71"/>
      <c r="G181" s="72"/>
      <c r="H181" s="5"/>
      <c r="I181" s="5"/>
      <c r="J181" s="13"/>
      <c r="L181" s="2"/>
    </row>
    <row r="182" spans="1:12" ht="38.25" customHeight="1" x14ac:dyDescent="0.25">
      <c r="A182" s="9" t="s">
        <v>23</v>
      </c>
      <c r="B182" s="5"/>
      <c r="C182" s="4"/>
      <c r="D182" s="15" t="s">
        <v>141</v>
      </c>
      <c r="E182" s="41" t="s">
        <v>139</v>
      </c>
      <c r="F182" s="41" t="s">
        <v>139</v>
      </c>
      <c r="G182" s="13" t="s">
        <v>54</v>
      </c>
      <c r="H182" s="41" t="s">
        <v>139</v>
      </c>
      <c r="I182" s="41" t="s">
        <v>139</v>
      </c>
      <c r="J182" s="13"/>
      <c r="L182" s="2"/>
    </row>
    <row r="183" spans="1:12" ht="38.25" customHeight="1" x14ac:dyDescent="0.25">
      <c r="A183" s="9"/>
      <c r="B183" s="5"/>
      <c r="C183" s="4"/>
      <c r="D183" s="15" t="s">
        <v>165</v>
      </c>
      <c r="E183" s="41" t="s">
        <v>139</v>
      </c>
      <c r="F183" s="41" t="s">
        <v>139</v>
      </c>
      <c r="G183" s="13" t="s">
        <v>31</v>
      </c>
      <c r="H183" s="41" t="s">
        <v>139</v>
      </c>
      <c r="I183" s="41" t="s">
        <v>139</v>
      </c>
      <c r="J183" s="13"/>
      <c r="L183" s="2"/>
    </row>
    <row r="184" spans="1:12" ht="18.75" x14ac:dyDescent="0.25">
      <c r="A184" s="9" t="s">
        <v>24</v>
      </c>
      <c r="B184" s="5"/>
      <c r="C184" s="4"/>
      <c r="D184" s="4" t="s">
        <v>77</v>
      </c>
      <c r="E184" s="41" t="s">
        <v>139</v>
      </c>
      <c r="F184" s="41" t="s">
        <v>139</v>
      </c>
      <c r="G184" s="13" t="s">
        <v>54</v>
      </c>
      <c r="H184" s="41" t="s">
        <v>139</v>
      </c>
      <c r="I184" s="41" t="s">
        <v>139</v>
      </c>
      <c r="J184" s="13"/>
      <c r="L184" s="2"/>
    </row>
    <row r="185" spans="1:12" ht="31.5" x14ac:dyDescent="0.25">
      <c r="A185" s="9" t="s">
        <v>125</v>
      </c>
      <c r="B185" s="5"/>
      <c r="C185" s="4"/>
      <c r="D185" s="15" t="s">
        <v>152</v>
      </c>
      <c r="E185" s="41"/>
      <c r="F185" s="41">
        <f>1</f>
        <v>1</v>
      </c>
      <c r="G185" s="13" t="s">
        <v>54</v>
      </c>
      <c r="H185" s="41">
        <f>5188.8/F185</f>
        <v>5188.8</v>
      </c>
      <c r="I185" s="64">
        <f t="shared" ref="I185:I192" si="11">F185*H185</f>
        <v>5188.8</v>
      </c>
      <c r="J185" s="13" t="s">
        <v>122</v>
      </c>
      <c r="L185" s="2"/>
    </row>
    <row r="186" spans="1:12" ht="18.75" x14ac:dyDescent="0.25">
      <c r="A186" s="9"/>
      <c r="B186" s="5"/>
      <c r="C186" s="4"/>
      <c r="D186" s="15" t="s">
        <v>166</v>
      </c>
      <c r="E186" s="41"/>
      <c r="F186" s="41">
        <f>20</f>
        <v>20</v>
      </c>
      <c r="G186" s="13" t="s">
        <v>149</v>
      </c>
      <c r="H186" s="41">
        <f>4321.6/F186</f>
        <v>216.08</v>
      </c>
      <c r="I186" s="58">
        <f t="shared" si="11"/>
        <v>4321.6000000000004</v>
      </c>
      <c r="J186" s="13" t="s">
        <v>122</v>
      </c>
      <c r="L186" s="2"/>
    </row>
    <row r="187" spans="1:12" ht="36.75" customHeight="1" x14ac:dyDescent="0.25">
      <c r="A187" s="9"/>
      <c r="B187" s="5"/>
      <c r="C187" s="4"/>
      <c r="D187" s="15" t="s">
        <v>252</v>
      </c>
      <c r="E187" s="41"/>
      <c r="F187" s="41">
        <f>100+58</f>
        <v>158</v>
      </c>
      <c r="G187" s="13" t="s">
        <v>149</v>
      </c>
      <c r="H187" s="45">
        <f>(22907.2+13925)/F187</f>
        <v>233.11518987341771</v>
      </c>
      <c r="I187" s="58">
        <f t="shared" si="11"/>
        <v>36832.199999999997</v>
      </c>
      <c r="J187" s="13"/>
      <c r="L187" s="2"/>
    </row>
    <row r="188" spans="1:12" ht="36.75" customHeight="1" x14ac:dyDescent="0.25">
      <c r="A188" s="9"/>
      <c r="B188" s="5"/>
      <c r="C188" s="4"/>
      <c r="D188" s="15" t="s">
        <v>253</v>
      </c>
      <c r="E188" s="41"/>
      <c r="F188" s="41">
        <v>1</v>
      </c>
      <c r="G188" s="13" t="s">
        <v>149</v>
      </c>
      <c r="H188" s="41">
        <f>564.6/F188</f>
        <v>564.6</v>
      </c>
      <c r="I188" s="58">
        <f t="shared" si="11"/>
        <v>564.6</v>
      </c>
      <c r="J188" s="13"/>
      <c r="L188" s="2"/>
    </row>
    <row r="189" spans="1:12" ht="31.5" x14ac:dyDescent="0.25">
      <c r="A189" s="9"/>
      <c r="B189" s="5"/>
      <c r="C189" s="4"/>
      <c r="D189" s="15" t="s">
        <v>126</v>
      </c>
      <c r="E189" s="41"/>
      <c r="F189" s="41"/>
      <c r="G189" s="13" t="s">
        <v>31</v>
      </c>
      <c r="H189" s="41"/>
      <c r="I189" s="41"/>
      <c r="J189" s="13"/>
      <c r="L189" s="2"/>
    </row>
    <row r="190" spans="1:12" ht="18.75" x14ac:dyDescent="0.25">
      <c r="A190" s="9"/>
      <c r="B190" s="5"/>
      <c r="C190" s="4"/>
      <c r="D190" s="15" t="s">
        <v>250</v>
      </c>
      <c r="E190" s="41"/>
      <c r="F190" s="41">
        <f>32+1+32</f>
        <v>65</v>
      </c>
      <c r="G190" s="13" t="s">
        <v>31</v>
      </c>
      <c r="H190" s="45">
        <f>(4976.6+159.4+5133.6)/F190</f>
        <v>157.99384615384616</v>
      </c>
      <c r="I190" s="58">
        <f t="shared" si="11"/>
        <v>10269.6</v>
      </c>
      <c r="J190" s="13"/>
      <c r="L190" s="2"/>
    </row>
    <row r="191" spans="1:12" ht="18.75" x14ac:dyDescent="0.25">
      <c r="A191" s="9"/>
      <c r="B191" s="5"/>
      <c r="C191" s="4"/>
      <c r="D191" s="15" t="s">
        <v>251</v>
      </c>
      <c r="E191" s="41"/>
      <c r="F191" s="41">
        <f>32+1+32</f>
        <v>65</v>
      </c>
      <c r="G191" s="13" t="s">
        <v>31</v>
      </c>
      <c r="H191" s="45">
        <f>(63963.8+1978.6+63351.6)/F191</f>
        <v>1989.1384615384616</v>
      </c>
      <c r="I191" s="58">
        <f t="shared" si="11"/>
        <v>129294</v>
      </c>
      <c r="J191" s="13"/>
      <c r="L191" s="2"/>
    </row>
    <row r="192" spans="1:12" ht="18.75" x14ac:dyDescent="0.25">
      <c r="A192" s="9"/>
      <c r="B192" s="5"/>
      <c r="C192" s="4"/>
      <c r="D192" s="15" t="s">
        <v>192</v>
      </c>
      <c r="E192" s="41"/>
      <c r="F192" s="41">
        <f>9</f>
        <v>9</v>
      </c>
      <c r="G192" s="13" t="s">
        <v>31</v>
      </c>
      <c r="H192" s="45">
        <f>2811.4/F192</f>
        <v>312.37777777777779</v>
      </c>
      <c r="I192" s="58">
        <f t="shared" si="11"/>
        <v>2811.4</v>
      </c>
      <c r="J192" s="13" t="s">
        <v>122</v>
      </c>
      <c r="L192" s="2"/>
    </row>
    <row r="193" spans="1:12" ht="18.75" x14ac:dyDescent="0.25">
      <c r="A193" s="9"/>
      <c r="B193" s="5"/>
      <c r="C193" s="4"/>
      <c r="D193" s="15" t="s">
        <v>174</v>
      </c>
      <c r="E193" s="41"/>
      <c r="F193" s="41"/>
      <c r="G193" s="13" t="s">
        <v>54</v>
      </c>
      <c r="H193" s="41" t="s">
        <v>139</v>
      </c>
      <c r="I193" s="41" t="s">
        <v>139</v>
      </c>
      <c r="J193" s="13"/>
      <c r="L193" s="2"/>
    </row>
    <row r="194" spans="1:12" ht="18.75" x14ac:dyDescent="0.25">
      <c r="A194" s="9"/>
      <c r="B194" s="5"/>
      <c r="C194" s="4"/>
      <c r="D194" s="15" t="s">
        <v>106</v>
      </c>
      <c r="E194" s="32"/>
      <c r="F194" s="13">
        <f>4+5+3+1+4+4+8+2+5+6</f>
        <v>42</v>
      </c>
      <c r="G194" s="13" t="s">
        <v>54</v>
      </c>
      <c r="H194" s="33">
        <f>(672.4+839.2+505.8+168.8+677.6+683.8+1369.4+344.8+1027.8+1231)/F194</f>
        <v>179.06190476190477</v>
      </c>
      <c r="I194" s="13">
        <f t="shared" ref="I194" si="12">F194*H194</f>
        <v>7520.6</v>
      </c>
      <c r="J194" s="13" t="s">
        <v>115</v>
      </c>
      <c r="L194" s="2"/>
    </row>
    <row r="195" spans="1:12" ht="18.75" x14ac:dyDescent="0.25">
      <c r="A195" s="9"/>
      <c r="B195" s="5"/>
      <c r="C195" s="4"/>
      <c r="D195" s="15" t="s">
        <v>140</v>
      </c>
      <c r="E195" s="41"/>
      <c r="F195" s="41"/>
      <c r="G195" s="13" t="s">
        <v>31</v>
      </c>
      <c r="H195" s="41" t="s">
        <v>139</v>
      </c>
      <c r="I195" s="41" t="s">
        <v>139</v>
      </c>
      <c r="J195" s="13"/>
      <c r="L195" s="2"/>
    </row>
    <row r="196" spans="1:12" ht="56.25" x14ac:dyDescent="0.25">
      <c r="A196" s="9" t="s">
        <v>107</v>
      </c>
      <c r="B196" s="5"/>
      <c r="C196" s="4"/>
      <c r="D196" s="15" t="s">
        <v>123</v>
      </c>
      <c r="E196" s="32"/>
      <c r="F196" s="13">
        <f>90+90+90+90+90+90+90+90+90+90+90+90</f>
        <v>1080</v>
      </c>
      <c r="G196" s="13" t="s">
        <v>108</v>
      </c>
      <c r="H196" s="33">
        <f>(7985.4+7985.4+7985.4+8166.8+8166.8+8166.8+8383.2+8383.2+8383.2+8647.2+8647.2+8647.2)/F196</f>
        <v>92.173888888888882</v>
      </c>
      <c r="I196" s="13">
        <f>F196*H196</f>
        <v>99547.799999999988</v>
      </c>
      <c r="J196" s="13" t="s">
        <v>115</v>
      </c>
      <c r="L196" s="2"/>
    </row>
    <row r="197" spans="1:12" ht="18.75" x14ac:dyDescent="0.25">
      <c r="A197" s="47"/>
      <c r="B197" s="22"/>
      <c r="C197" s="22"/>
      <c r="D197" s="30"/>
      <c r="E197" s="49"/>
      <c r="F197" s="50"/>
      <c r="G197" s="31"/>
      <c r="H197" s="31"/>
      <c r="I197" s="13">
        <f>SUM(I185:I196)</f>
        <v>296350.59999999998</v>
      </c>
      <c r="J197" s="13"/>
      <c r="L197" s="2"/>
    </row>
    <row r="198" spans="1:12" ht="18.75" x14ac:dyDescent="0.25">
      <c r="A198" s="77" t="s">
        <v>90</v>
      </c>
      <c r="B198" s="78"/>
      <c r="C198" s="78"/>
      <c r="D198" s="78"/>
      <c r="E198" s="78"/>
      <c r="F198" s="78"/>
      <c r="G198" s="79"/>
      <c r="H198" s="12"/>
      <c r="I198" s="5"/>
      <c r="J198" s="13"/>
      <c r="L198" s="2"/>
    </row>
    <row r="199" spans="1:12" ht="18.75" x14ac:dyDescent="0.25">
      <c r="A199" s="26"/>
      <c r="B199" s="27"/>
      <c r="C199" s="27"/>
      <c r="D199" s="36" t="s">
        <v>116</v>
      </c>
      <c r="E199" s="41"/>
      <c r="F199" s="41">
        <f>2+1+4+2</f>
        <v>9</v>
      </c>
      <c r="G199" s="38" t="s">
        <v>31</v>
      </c>
      <c r="H199" s="45">
        <f>(2461.6+1232+5162+2580.2)/F199</f>
        <v>1270.6444444444444</v>
      </c>
      <c r="I199" s="41">
        <f>F199*H199</f>
        <v>11435.8</v>
      </c>
      <c r="J199" s="13" t="s">
        <v>122</v>
      </c>
      <c r="L199" s="2"/>
    </row>
    <row r="200" spans="1:12" ht="63" x14ac:dyDescent="0.25">
      <c r="A200" s="9" t="s">
        <v>88</v>
      </c>
      <c r="B200" s="22"/>
      <c r="C200" s="22"/>
      <c r="D200" s="23" t="s">
        <v>118</v>
      </c>
      <c r="E200" s="37">
        <v>301</v>
      </c>
      <c r="F200" s="13">
        <v>301</v>
      </c>
      <c r="G200" s="31" t="s">
        <v>89</v>
      </c>
      <c r="H200" s="31">
        <v>4.8</v>
      </c>
      <c r="I200" s="13">
        <f>F200*H200*12</f>
        <v>17337.599999999999</v>
      </c>
      <c r="J200" s="13" t="s">
        <v>115</v>
      </c>
      <c r="L200" s="2"/>
    </row>
    <row r="201" spans="1:12" ht="18.75" x14ac:dyDescent="0.25">
      <c r="A201" s="47"/>
      <c r="B201" s="22"/>
      <c r="C201" s="22"/>
      <c r="D201" s="30"/>
      <c r="E201" s="49"/>
      <c r="F201" s="50"/>
      <c r="G201" s="31"/>
      <c r="H201" s="31"/>
      <c r="I201" s="13">
        <f>SUM(I199:I200)</f>
        <v>28773.399999999998</v>
      </c>
      <c r="J201" s="13"/>
      <c r="L201" s="2"/>
    </row>
    <row r="202" spans="1:12" ht="18.75" x14ac:dyDescent="0.3">
      <c r="A202" s="70" t="s">
        <v>79</v>
      </c>
      <c r="B202" s="71"/>
      <c r="C202" s="71"/>
      <c r="D202" s="71"/>
      <c r="E202" s="71"/>
      <c r="F202" s="71"/>
      <c r="G202" s="72"/>
      <c r="H202" s="19"/>
      <c r="I202" s="5"/>
      <c r="J202" s="13"/>
      <c r="L202" s="2"/>
    </row>
    <row r="203" spans="1:12" ht="46.5" customHeight="1" x14ac:dyDescent="0.3">
      <c r="A203" s="34" t="s">
        <v>131</v>
      </c>
      <c r="B203" s="24"/>
      <c r="C203" s="24"/>
      <c r="D203" s="35" t="s">
        <v>130</v>
      </c>
      <c r="E203" s="13">
        <v>720</v>
      </c>
      <c r="F203" s="13">
        <v>720</v>
      </c>
      <c r="G203" s="13" t="s">
        <v>138</v>
      </c>
      <c r="H203" s="13">
        <v>13</v>
      </c>
      <c r="I203" s="13">
        <f>F203*H203*3</f>
        <v>28080</v>
      </c>
      <c r="J203" s="13" t="s">
        <v>151</v>
      </c>
      <c r="L203" s="2"/>
    </row>
    <row r="204" spans="1:12" ht="18.75" x14ac:dyDescent="0.25">
      <c r="A204" s="9" t="s">
        <v>25</v>
      </c>
      <c r="B204" s="5"/>
      <c r="C204" s="4"/>
      <c r="D204" s="4" t="s">
        <v>75</v>
      </c>
      <c r="E204" s="41" t="s">
        <v>139</v>
      </c>
      <c r="F204" s="41" t="s">
        <v>139</v>
      </c>
      <c r="G204" s="14" t="s">
        <v>54</v>
      </c>
      <c r="H204" s="41" t="s">
        <v>139</v>
      </c>
      <c r="I204" s="41" t="s">
        <v>139</v>
      </c>
      <c r="J204" s="13"/>
      <c r="L204" s="2"/>
    </row>
    <row r="205" spans="1:12" ht="47.25" x14ac:dyDescent="0.25">
      <c r="A205" s="9" t="s">
        <v>26</v>
      </c>
      <c r="B205" s="5"/>
      <c r="C205" s="4"/>
      <c r="D205" s="15" t="s">
        <v>28</v>
      </c>
      <c r="E205" s="41" t="s">
        <v>139</v>
      </c>
      <c r="F205" s="41" t="s">
        <v>139</v>
      </c>
      <c r="G205" s="14" t="s">
        <v>54</v>
      </c>
      <c r="H205" s="41" t="s">
        <v>139</v>
      </c>
      <c r="I205" s="41" t="s">
        <v>139</v>
      </c>
      <c r="J205" s="13"/>
      <c r="L205" s="2"/>
    </row>
    <row r="206" spans="1:12" ht="31.5" x14ac:dyDescent="0.25">
      <c r="A206" s="9" t="s">
        <v>27</v>
      </c>
      <c r="B206" s="5"/>
      <c r="C206" s="4"/>
      <c r="D206" s="15" t="s">
        <v>74</v>
      </c>
      <c r="E206" s="41" t="s">
        <v>139</v>
      </c>
      <c r="F206" s="41" t="s">
        <v>139</v>
      </c>
      <c r="G206" s="14" t="s">
        <v>54</v>
      </c>
      <c r="H206" s="41" t="s">
        <v>139</v>
      </c>
      <c r="I206" s="41" t="s">
        <v>139</v>
      </c>
      <c r="J206" s="13"/>
      <c r="L206" s="2"/>
    </row>
    <row r="207" spans="1:12" ht="18.75" x14ac:dyDescent="0.25">
      <c r="A207" s="47"/>
      <c r="B207" s="22"/>
      <c r="C207" s="22"/>
      <c r="D207" s="30"/>
      <c r="E207" s="46"/>
      <c r="F207" s="46"/>
      <c r="G207" s="12"/>
      <c r="H207" s="51"/>
      <c r="I207" s="51">
        <f>SUM(I203:I206)</f>
        <v>28080</v>
      </c>
      <c r="J207" s="52"/>
      <c r="L207" s="2"/>
    </row>
    <row r="208" spans="1:12" ht="18.75" x14ac:dyDescent="0.3">
      <c r="A208" s="70" t="s">
        <v>84</v>
      </c>
      <c r="B208" s="71"/>
      <c r="C208" s="71"/>
      <c r="D208" s="71"/>
      <c r="E208" s="71"/>
      <c r="F208" s="71"/>
      <c r="G208" s="72"/>
      <c r="H208" s="2"/>
      <c r="I208" s="2"/>
      <c r="J208" s="2"/>
      <c r="K208" s="2"/>
      <c r="L208" s="2"/>
    </row>
    <row r="209" spans="1:12" ht="48" x14ac:dyDescent="0.3">
      <c r="A209" s="6" t="s">
        <v>66</v>
      </c>
      <c r="B209" s="6"/>
      <c r="C209" s="4"/>
      <c r="D209" s="15" t="s">
        <v>191</v>
      </c>
      <c r="E209" s="41" t="s">
        <v>139</v>
      </c>
      <c r="F209" s="41" t="s">
        <v>139</v>
      </c>
      <c r="G209" s="13" t="s">
        <v>112</v>
      </c>
      <c r="H209" s="41" t="s">
        <v>139</v>
      </c>
      <c r="I209" s="41" t="s">
        <v>139</v>
      </c>
      <c r="J209" s="39"/>
      <c r="L209" s="2"/>
    </row>
    <row r="210" spans="1:12" ht="32.25" x14ac:dyDescent="0.3">
      <c r="A210" s="28"/>
      <c r="B210" s="29"/>
      <c r="C210" s="22"/>
      <c r="D210" s="40" t="s">
        <v>241</v>
      </c>
      <c r="E210" s="41"/>
      <c r="F210" s="41">
        <f>1+1+1+1+1+1</f>
        <v>6</v>
      </c>
      <c r="G210" s="13" t="s">
        <v>31</v>
      </c>
      <c r="H210" s="45">
        <f>(650+650+2150+1650+650+1550)/F210</f>
        <v>1216.6666666666667</v>
      </c>
      <c r="I210" s="58">
        <f>F210*H210</f>
        <v>7300</v>
      </c>
      <c r="J210" s="39" t="s">
        <v>117</v>
      </c>
      <c r="L210" s="2"/>
    </row>
    <row r="211" spans="1:12" ht="18.75" x14ac:dyDescent="0.3">
      <c r="A211" s="28"/>
      <c r="B211" s="29"/>
      <c r="C211" s="22"/>
      <c r="D211" s="40" t="s">
        <v>240</v>
      </c>
      <c r="E211" s="41"/>
      <c r="F211" s="41">
        <f>1+1+1</f>
        <v>3</v>
      </c>
      <c r="G211" s="13" t="s">
        <v>31</v>
      </c>
      <c r="H211" s="41">
        <f>(1585+1585+1585)/F211</f>
        <v>1585</v>
      </c>
      <c r="I211" s="58">
        <f>F211*H211</f>
        <v>4755</v>
      </c>
      <c r="J211" s="39" t="s">
        <v>117</v>
      </c>
      <c r="L211" s="2"/>
    </row>
    <row r="212" spans="1:12" ht="18.75" x14ac:dyDescent="0.3">
      <c r="A212" s="28"/>
      <c r="B212" s="29"/>
      <c r="C212" s="22"/>
      <c r="D212" s="40" t="s">
        <v>242</v>
      </c>
      <c r="E212" s="41"/>
      <c r="F212" s="41">
        <f>1</f>
        <v>1</v>
      </c>
      <c r="G212" s="13" t="s">
        <v>31</v>
      </c>
      <c r="H212" s="41">
        <f>800/F212</f>
        <v>800</v>
      </c>
      <c r="I212" s="58">
        <f>F212*H212</f>
        <v>800</v>
      </c>
      <c r="J212" s="39" t="s">
        <v>117</v>
      </c>
      <c r="L212" s="2"/>
    </row>
    <row r="213" spans="1:12" ht="32.25" x14ac:dyDescent="0.3">
      <c r="A213" s="28"/>
      <c r="B213" s="29"/>
      <c r="C213" s="22"/>
      <c r="D213" s="40" t="s">
        <v>109</v>
      </c>
      <c r="E213" s="41">
        <v>1</v>
      </c>
      <c r="F213" s="41">
        <v>1</v>
      </c>
      <c r="G213" s="13" t="s">
        <v>110</v>
      </c>
      <c r="H213" s="41">
        <v>33525</v>
      </c>
      <c r="I213" s="44">
        <f>F213*H213</f>
        <v>33525</v>
      </c>
      <c r="J213" s="39" t="s">
        <v>117</v>
      </c>
      <c r="L213" s="2"/>
    </row>
    <row r="214" spans="1:12" ht="18.75" x14ac:dyDescent="0.3">
      <c r="A214" s="28"/>
      <c r="B214" s="29"/>
      <c r="C214" s="22"/>
      <c r="D214" s="30"/>
      <c r="E214" s="46"/>
      <c r="F214" s="46"/>
      <c r="G214" s="31"/>
      <c r="H214" s="46"/>
      <c r="I214" s="53">
        <f>SUM(I210:I213)</f>
        <v>46380</v>
      </c>
      <c r="J214" s="54"/>
      <c r="L214" s="2"/>
    </row>
    <row r="215" spans="1:12" ht="18.75" x14ac:dyDescent="0.3">
      <c r="A215" s="70" t="s">
        <v>98</v>
      </c>
      <c r="B215" s="71"/>
      <c r="C215" s="71"/>
      <c r="D215" s="71"/>
      <c r="E215" s="71"/>
      <c r="F215" s="71"/>
      <c r="G215" s="72"/>
      <c r="H215" s="70"/>
      <c r="I215" s="71"/>
      <c r="J215" s="71"/>
      <c r="L215" s="2"/>
    </row>
    <row r="216" spans="1:12" ht="32.25" x14ac:dyDescent="0.3">
      <c r="A216" s="34" t="s">
        <v>150</v>
      </c>
      <c r="B216" s="24"/>
      <c r="C216" s="24"/>
      <c r="D216" s="40" t="s">
        <v>133</v>
      </c>
      <c r="E216" s="13"/>
      <c r="F216" s="13">
        <f>1+1+1</f>
        <v>3</v>
      </c>
      <c r="G216" s="13" t="s">
        <v>134</v>
      </c>
      <c r="H216" s="13">
        <v>800</v>
      </c>
      <c r="I216" s="60">
        <f t="shared" ref="I216:I219" si="13">F216*H216</f>
        <v>2400</v>
      </c>
      <c r="J216" s="13" t="s">
        <v>195</v>
      </c>
      <c r="L216" s="2"/>
    </row>
    <row r="217" spans="1:12" ht="48" x14ac:dyDescent="0.3">
      <c r="A217" s="24"/>
      <c r="B217" s="24"/>
      <c r="C217" s="24"/>
      <c r="D217" s="40" t="s">
        <v>135</v>
      </c>
      <c r="E217" s="41"/>
      <c r="F217" s="41">
        <f>220+40</f>
        <v>260</v>
      </c>
      <c r="G217" s="13" t="s">
        <v>136</v>
      </c>
      <c r="H217" s="41">
        <v>650</v>
      </c>
      <c r="I217" s="59">
        <f>F217*H217</f>
        <v>169000</v>
      </c>
      <c r="J217" s="13" t="s">
        <v>195</v>
      </c>
      <c r="L217" s="2"/>
    </row>
    <row r="218" spans="1:12" ht="32.25" x14ac:dyDescent="0.3">
      <c r="A218" s="24"/>
      <c r="B218" s="24"/>
      <c r="C218" s="24"/>
      <c r="D218" s="40" t="s">
        <v>208</v>
      </c>
      <c r="E218" s="13"/>
      <c r="F218" s="13">
        <f>1020+300+420+180</f>
        <v>1920</v>
      </c>
      <c r="G218" s="13" t="s">
        <v>137</v>
      </c>
      <c r="H218" s="33">
        <f>(51000+15000+21000+10999+8249)/F218</f>
        <v>55.337499999999999</v>
      </c>
      <c r="I218" s="60">
        <f t="shared" si="13"/>
        <v>106248</v>
      </c>
      <c r="J218" s="13" t="s">
        <v>195</v>
      </c>
      <c r="L218" s="2"/>
    </row>
    <row r="219" spans="1:12" ht="32.25" x14ac:dyDescent="0.3">
      <c r="A219" s="24"/>
      <c r="B219" s="24"/>
      <c r="C219" s="24"/>
      <c r="D219" s="40" t="s">
        <v>209</v>
      </c>
      <c r="E219" s="13"/>
      <c r="F219" s="13">
        <f>390+120+300+540</f>
        <v>1350</v>
      </c>
      <c r="G219" s="13" t="s">
        <v>137</v>
      </c>
      <c r="H219" s="33">
        <f>(16251+5000+12501+4000+24748)/F219</f>
        <v>46.296296296296298</v>
      </c>
      <c r="I219" s="60">
        <f t="shared" si="13"/>
        <v>62500</v>
      </c>
      <c r="J219" s="13" t="s">
        <v>195</v>
      </c>
      <c r="L219" s="2"/>
    </row>
    <row r="220" spans="1:12" ht="18.75" x14ac:dyDescent="0.3">
      <c r="A220" s="24"/>
      <c r="B220" s="24"/>
      <c r="C220" s="24"/>
      <c r="D220" s="40" t="s">
        <v>217</v>
      </c>
      <c r="E220" s="41"/>
      <c r="F220" s="41">
        <f>2+1+2</f>
        <v>5</v>
      </c>
      <c r="G220" s="38" t="s">
        <v>31</v>
      </c>
      <c r="H220" s="41">
        <f>(21934+10967+21940)/F220</f>
        <v>10968.2</v>
      </c>
      <c r="I220" s="58">
        <f t="shared" ref="I220:I221" si="14">F220*H220</f>
        <v>54841</v>
      </c>
      <c r="J220" s="13" t="s">
        <v>117</v>
      </c>
      <c r="L220" s="2"/>
    </row>
    <row r="221" spans="1:12" ht="18.75" x14ac:dyDescent="0.3">
      <c r="A221" s="24"/>
      <c r="B221" s="24"/>
      <c r="C221" s="24"/>
      <c r="D221" s="40" t="s">
        <v>225</v>
      </c>
      <c r="E221" s="41"/>
      <c r="F221" s="41">
        <f>5</f>
        <v>5</v>
      </c>
      <c r="G221" s="38" t="s">
        <v>31</v>
      </c>
      <c r="H221" s="41">
        <f>46111/F221</f>
        <v>9222.2000000000007</v>
      </c>
      <c r="I221" s="58">
        <f t="shared" si="14"/>
        <v>46111</v>
      </c>
      <c r="J221" s="13" t="s">
        <v>122</v>
      </c>
      <c r="L221" s="2"/>
    </row>
    <row r="222" spans="1:12" ht="18.75" x14ac:dyDescent="0.3">
      <c r="A222" s="24"/>
      <c r="B222" s="24"/>
      <c r="C222" s="24"/>
      <c r="D222" s="40" t="s">
        <v>234</v>
      </c>
      <c r="E222" s="41"/>
      <c r="F222" s="41">
        <v>12</v>
      </c>
      <c r="G222" s="38" t="s">
        <v>31</v>
      </c>
      <c r="H222" s="45">
        <f>25072/F222</f>
        <v>2089.3333333333335</v>
      </c>
      <c r="I222" s="58">
        <f>F222*H222</f>
        <v>25072</v>
      </c>
      <c r="J222" s="13" t="s">
        <v>117</v>
      </c>
      <c r="L222" s="2"/>
    </row>
    <row r="223" spans="1:12" ht="18.75" x14ac:dyDescent="0.3">
      <c r="A223" s="24"/>
      <c r="B223" s="24"/>
      <c r="C223" s="24"/>
      <c r="D223" s="40" t="s">
        <v>235</v>
      </c>
      <c r="E223" s="41"/>
      <c r="F223" s="41">
        <v>6</v>
      </c>
      <c r="G223" s="38" t="s">
        <v>31</v>
      </c>
      <c r="H223" s="41">
        <f>51562.8/F223</f>
        <v>8593.8000000000011</v>
      </c>
      <c r="I223" s="58">
        <f>F223*H223</f>
        <v>51562.8</v>
      </c>
      <c r="J223" s="13" t="s">
        <v>117</v>
      </c>
      <c r="L223" s="2"/>
    </row>
    <row r="224" spans="1:12" ht="32.25" x14ac:dyDescent="0.3">
      <c r="A224" s="24"/>
      <c r="B224" s="24"/>
      <c r="C224" s="24"/>
      <c r="D224" s="40" t="s">
        <v>193</v>
      </c>
      <c r="E224" s="41" t="s">
        <v>139</v>
      </c>
      <c r="F224" s="41" t="s">
        <v>139</v>
      </c>
      <c r="G224" s="38" t="s">
        <v>112</v>
      </c>
      <c r="H224" s="41" t="s">
        <v>139</v>
      </c>
      <c r="I224" s="41" t="s">
        <v>139</v>
      </c>
      <c r="J224" s="13"/>
      <c r="L224" s="2"/>
    </row>
    <row r="225" spans="1:12" ht="32.25" x14ac:dyDescent="0.3">
      <c r="A225" s="24"/>
      <c r="B225" s="24"/>
      <c r="C225" s="24"/>
      <c r="D225" s="40" t="s">
        <v>260</v>
      </c>
      <c r="E225" s="41"/>
      <c r="F225" s="41">
        <f>2</f>
        <v>2</v>
      </c>
      <c r="G225" s="38" t="s">
        <v>261</v>
      </c>
      <c r="H225" s="41">
        <f>17986.4/F225</f>
        <v>8993.2000000000007</v>
      </c>
      <c r="I225" s="58">
        <f>F225*H225</f>
        <v>17986.400000000001</v>
      </c>
      <c r="J225" s="13" t="s">
        <v>117</v>
      </c>
      <c r="L225" s="2"/>
    </row>
    <row r="226" spans="1:12" ht="18.75" x14ac:dyDescent="0.3">
      <c r="A226" s="24"/>
      <c r="B226" s="24"/>
      <c r="C226" s="24"/>
      <c r="D226" s="40" t="s">
        <v>227</v>
      </c>
      <c r="E226" s="41"/>
      <c r="F226" s="41">
        <f>1</f>
        <v>1</v>
      </c>
      <c r="G226" s="38" t="s">
        <v>31</v>
      </c>
      <c r="H226" s="41">
        <v>6200</v>
      </c>
      <c r="I226" s="58">
        <f>F226*H226</f>
        <v>6200</v>
      </c>
      <c r="J226" s="13" t="s">
        <v>117</v>
      </c>
      <c r="L226" s="2"/>
    </row>
    <row r="227" spans="1:12" ht="32.25" x14ac:dyDescent="0.3">
      <c r="A227" s="24"/>
      <c r="B227" s="24"/>
      <c r="C227" s="24"/>
      <c r="D227" s="40" t="s">
        <v>290</v>
      </c>
      <c r="E227" s="41"/>
      <c r="F227" s="41">
        <f>0.963</f>
        <v>0.96299999999999997</v>
      </c>
      <c r="G227" s="38" t="s">
        <v>291</v>
      </c>
      <c r="H227" s="45">
        <f>4634.4/F227</f>
        <v>4812.4610591900309</v>
      </c>
      <c r="I227" s="58">
        <f>F227*H227</f>
        <v>4634.3999999999996</v>
      </c>
      <c r="J227" s="13" t="s">
        <v>117</v>
      </c>
      <c r="L227" s="2"/>
    </row>
    <row r="228" spans="1:12" ht="63.75" x14ac:dyDescent="0.3">
      <c r="A228" s="24"/>
      <c r="B228" s="24"/>
      <c r="C228" s="24"/>
      <c r="D228" s="40" t="s">
        <v>263</v>
      </c>
      <c r="E228" s="13"/>
      <c r="F228" s="13">
        <v>1</v>
      </c>
      <c r="G228" s="13" t="s">
        <v>143</v>
      </c>
      <c r="H228" s="13">
        <v>8315</v>
      </c>
      <c r="I228" s="61">
        <f t="shared" ref="I228:I229" si="15">F228*H228</f>
        <v>8315</v>
      </c>
      <c r="J228" s="13" t="s">
        <v>117</v>
      </c>
      <c r="L228" s="2"/>
    </row>
    <row r="229" spans="1:12" ht="32.25" x14ac:dyDescent="0.3">
      <c r="A229" s="24"/>
      <c r="B229" s="24"/>
      <c r="C229" s="24"/>
      <c r="D229" s="40" t="s">
        <v>264</v>
      </c>
      <c r="E229" s="13"/>
      <c r="F229" s="13">
        <v>1</v>
      </c>
      <c r="G229" s="13" t="s">
        <v>143</v>
      </c>
      <c r="H229" s="13">
        <v>25117</v>
      </c>
      <c r="I229" s="61">
        <f t="shared" si="15"/>
        <v>25117</v>
      </c>
      <c r="J229" s="13" t="s">
        <v>117</v>
      </c>
      <c r="L229" s="2"/>
    </row>
    <row r="230" spans="1:12" ht="18.75" x14ac:dyDescent="0.3">
      <c r="A230" s="34"/>
      <c r="B230" s="14"/>
      <c r="C230" s="14"/>
      <c r="D230" s="40"/>
      <c r="E230" s="41"/>
      <c r="F230" s="41"/>
      <c r="G230" s="13"/>
      <c r="H230" s="41"/>
      <c r="I230" s="45">
        <f>SUM(I216:I229)</f>
        <v>579987.6</v>
      </c>
      <c r="J230" s="14"/>
      <c r="L230" s="2"/>
    </row>
    <row r="231" spans="1:12" ht="18.75" x14ac:dyDescent="0.3">
      <c r="A231" s="65" t="s">
        <v>300</v>
      </c>
      <c r="B231" s="14"/>
      <c r="C231" s="14"/>
      <c r="D231" s="43"/>
      <c r="E231" s="14"/>
      <c r="F231" s="14"/>
      <c r="G231" s="38"/>
      <c r="H231" s="14"/>
      <c r="I231" s="66">
        <f>I5+I6+I19+I23+I30+I31+I32+I33+I35+I34+I41+I42+I43+I44+I48+I49+I52+I53+I54+I55+I57+I58+I59+I60+I61+I62+I63+I64+I65+I66+I67+I68+I70+I71+I73+I74+I75+I76+I79+I80+I81+I82+I83+I84+I85+I86+I87+I88+I89+I91+I93+I94+I95+I96+I99+I100+I101+I102+I106+I107+I108+I113+I127+I137+I138+I139+I140+I141+I142+I143+I144+I146+I150+I151+I156+I157+I158+I161+I165+I170+I171+I173+I174+I186+I187+I188+I190+I191+I192+I210+I211+I212+I216+I217+I218+I219+I220+I221+I222+I223+I225+I226+I227+I228+I229</f>
        <v>4261963.8000000026</v>
      </c>
      <c r="J231" s="14"/>
      <c r="K231" s="63"/>
      <c r="L231" s="2"/>
    </row>
    <row r="232" spans="1:12" ht="15.75" x14ac:dyDescent="0.25">
      <c r="A232" s="55" t="s">
        <v>206</v>
      </c>
      <c r="B232" s="25"/>
      <c r="C232" s="25"/>
      <c r="D232" s="43"/>
      <c r="E232" s="13"/>
      <c r="F232" s="13"/>
      <c r="G232" s="38"/>
      <c r="H232" s="13"/>
      <c r="I232" s="56">
        <f>I17+I46+I103+I132+I153+I167+I180+I197+I201+I207+I214+I230</f>
        <v>5656991.2000000002</v>
      </c>
      <c r="J232" s="14"/>
      <c r="K232" s="2"/>
      <c r="L232" s="2"/>
    </row>
    <row r="233" spans="1:12" ht="99.75" customHeight="1" x14ac:dyDescent="0.25">
      <c r="A233" s="67" t="s">
        <v>105</v>
      </c>
      <c r="B233" s="67"/>
      <c r="C233" s="67"/>
      <c r="D233" s="67"/>
      <c r="E233" s="67"/>
      <c r="F233" s="67"/>
      <c r="G233" s="67"/>
      <c r="H233" s="67"/>
      <c r="I233" s="67"/>
      <c r="J233" s="67"/>
      <c r="K233" s="2"/>
      <c r="L233" s="2"/>
    </row>
    <row r="234" spans="1:12" ht="15.75" x14ac:dyDescent="0.25">
      <c r="A234" s="2"/>
      <c r="B234" s="2"/>
      <c r="C234" s="2"/>
      <c r="D234" s="16"/>
      <c r="E234" s="16"/>
      <c r="F234" s="2"/>
      <c r="G234" s="2"/>
      <c r="H234" s="2"/>
      <c r="I234" s="2"/>
      <c r="J234" s="2"/>
      <c r="K234" s="2"/>
      <c r="L234" s="2"/>
    </row>
    <row r="235" spans="1:12" ht="15.75" x14ac:dyDescent="0.25">
      <c r="A235" s="2"/>
      <c r="B235" s="2"/>
      <c r="C235" s="2"/>
      <c r="D235" s="16"/>
      <c r="E235" s="16"/>
      <c r="F235" s="2"/>
      <c r="G235" s="2"/>
      <c r="H235" s="2"/>
      <c r="I235" s="2"/>
      <c r="J235" s="2"/>
      <c r="K235" s="2"/>
      <c r="L235" s="2"/>
    </row>
    <row r="236" spans="1:12" ht="15.75" x14ac:dyDescent="0.25">
      <c r="A236" s="2"/>
      <c r="B236" s="2"/>
      <c r="C236" s="2"/>
      <c r="D236" s="16"/>
      <c r="E236" s="16"/>
      <c r="F236" s="2"/>
      <c r="G236" s="2"/>
      <c r="H236" s="2"/>
      <c r="I236" s="2"/>
      <c r="J236" s="62"/>
      <c r="K236" s="2"/>
      <c r="L236" s="2"/>
    </row>
    <row r="237" spans="1:12" ht="15.75" x14ac:dyDescent="0.25">
      <c r="A237" s="2"/>
      <c r="B237" s="2"/>
      <c r="C237" s="2"/>
      <c r="D237" s="16"/>
      <c r="E237" s="16"/>
      <c r="F237" s="2"/>
      <c r="G237" s="2"/>
      <c r="H237" s="2"/>
      <c r="I237" s="2"/>
      <c r="J237" s="2"/>
      <c r="K237" s="2"/>
      <c r="L237" s="2"/>
    </row>
    <row r="238" spans="1:12" ht="15.75" x14ac:dyDescent="0.25">
      <c r="A238" s="2"/>
      <c r="B238" s="2"/>
      <c r="C238" s="2"/>
      <c r="D238" s="16"/>
      <c r="E238" s="16"/>
      <c r="F238" s="2"/>
      <c r="G238" s="2"/>
      <c r="H238" s="2"/>
      <c r="I238" s="2"/>
      <c r="J238" s="2"/>
      <c r="K238" s="2"/>
      <c r="L238" s="2"/>
    </row>
    <row r="239" spans="1:12" ht="15.75" x14ac:dyDescent="0.25">
      <c r="A239" s="2"/>
      <c r="B239" s="2"/>
      <c r="C239" s="2"/>
      <c r="D239" s="16"/>
      <c r="E239" s="16"/>
      <c r="F239" s="2"/>
      <c r="G239" s="2"/>
      <c r="H239" s="2"/>
      <c r="I239" s="2"/>
      <c r="J239" s="2"/>
      <c r="K239" s="2"/>
      <c r="L239" s="2"/>
    </row>
    <row r="240" spans="1:12" ht="15.75" x14ac:dyDescent="0.25">
      <c r="A240" s="2"/>
      <c r="B240" s="2"/>
      <c r="C240" s="2"/>
      <c r="D240" s="16"/>
      <c r="E240" s="16"/>
      <c r="F240" s="2"/>
      <c r="G240" s="2"/>
      <c r="H240" s="2"/>
      <c r="I240" s="2"/>
      <c r="J240" s="2"/>
      <c r="K240" s="2"/>
      <c r="L240" s="2"/>
    </row>
    <row r="241" spans="1:12" ht="15.75" x14ac:dyDescent="0.25">
      <c r="A241" s="2"/>
      <c r="B241" s="2"/>
      <c r="C241" s="2"/>
      <c r="D241" s="16"/>
      <c r="E241" s="16"/>
      <c r="F241" s="2"/>
      <c r="G241" s="2"/>
      <c r="H241" s="2"/>
      <c r="I241" s="2"/>
      <c r="J241" s="2"/>
      <c r="K241" s="2"/>
      <c r="L241" s="2"/>
    </row>
    <row r="242" spans="1:12" ht="15.75" x14ac:dyDescent="0.25">
      <c r="A242" s="2"/>
      <c r="B242" s="2"/>
      <c r="C242" s="2"/>
      <c r="D242" s="16"/>
      <c r="E242" s="16"/>
      <c r="F242" s="2"/>
      <c r="G242" s="2"/>
      <c r="H242" s="2"/>
      <c r="I242" s="2"/>
      <c r="J242" s="2"/>
      <c r="K242" s="2"/>
      <c r="L242" s="2"/>
    </row>
    <row r="243" spans="1:12" ht="15.75" x14ac:dyDescent="0.25">
      <c r="A243" s="2"/>
      <c r="B243" s="2"/>
      <c r="C243" s="2"/>
      <c r="D243" s="16"/>
      <c r="E243" s="16"/>
      <c r="F243" s="2"/>
      <c r="G243" s="2"/>
      <c r="H243" s="2"/>
      <c r="I243" s="2"/>
      <c r="J243" s="2"/>
      <c r="K243" s="2"/>
      <c r="L243" s="2"/>
    </row>
    <row r="244" spans="1:12" ht="15.75" x14ac:dyDescent="0.25">
      <c r="A244" s="2"/>
      <c r="B244" s="2"/>
      <c r="C244" s="2"/>
      <c r="D244" s="16"/>
      <c r="E244" s="16"/>
      <c r="F244" s="2"/>
      <c r="G244" s="2"/>
      <c r="H244" s="2"/>
      <c r="I244" s="2"/>
      <c r="J244" s="2"/>
      <c r="K244" s="2"/>
      <c r="L244" s="2"/>
    </row>
    <row r="245" spans="1:12" ht="15.75" x14ac:dyDescent="0.25">
      <c r="A245" s="2"/>
      <c r="B245" s="2"/>
      <c r="C245" s="2"/>
      <c r="D245" s="16"/>
      <c r="E245" s="16"/>
      <c r="F245" s="2"/>
      <c r="G245" s="2"/>
      <c r="H245" s="2"/>
      <c r="I245" s="2"/>
      <c r="J245" s="2"/>
      <c r="K245" s="2"/>
      <c r="L245" s="2"/>
    </row>
    <row r="246" spans="1:12" ht="15.75" x14ac:dyDescent="0.25">
      <c r="A246" s="2"/>
      <c r="B246" s="2"/>
      <c r="C246" s="2"/>
      <c r="D246" s="16"/>
      <c r="E246" s="16"/>
      <c r="F246" s="2"/>
      <c r="G246" s="2"/>
      <c r="H246" s="2"/>
      <c r="I246" s="2"/>
      <c r="J246" s="2"/>
      <c r="K246" s="2"/>
      <c r="L246" s="2"/>
    </row>
    <row r="247" spans="1:12" ht="15.75" x14ac:dyDescent="0.25">
      <c r="A247" s="2"/>
      <c r="B247" s="2"/>
      <c r="C247" s="2"/>
      <c r="D247" s="16"/>
      <c r="E247" s="16"/>
      <c r="F247" s="2"/>
      <c r="G247" s="2"/>
      <c r="H247" s="2"/>
      <c r="I247" s="2"/>
      <c r="J247" s="2"/>
      <c r="K247" s="2"/>
      <c r="L247" s="2"/>
    </row>
    <row r="248" spans="1:12" ht="15.75" x14ac:dyDescent="0.25">
      <c r="A248" s="2"/>
      <c r="B248" s="2"/>
      <c r="C248" s="2"/>
      <c r="D248" s="16"/>
      <c r="E248" s="16"/>
      <c r="F248" s="2"/>
      <c r="G248" s="2"/>
      <c r="H248" s="2"/>
      <c r="I248" s="2"/>
      <c r="J248" s="2"/>
      <c r="K248" s="2"/>
      <c r="L248" s="2"/>
    </row>
    <row r="249" spans="1:12" ht="15.75" x14ac:dyDescent="0.25">
      <c r="A249" s="2"/>
      <c r="B249" s="2"/>
      <c r="C249" s="2"/>
      <c r="D249" s="16"/>
      <c r="E249" s="16"/>
      <c r="F249" s="2"/>
      <c r="G249" s="2"/>
      <c r="H249" s="2"/>
      <c r="I249" s="2"/>
      <c r="J249" s="2"/>
      <c r="K249" s="2"/>
      <c r="L249" s="2"/>
    </row>
    <row r="250" spans="1:12" ht="15.75" x14ac:dyDescent="0.25">
      <c r="A250" s="2"/>
      <c r="B250" s="2"/>
      <c r="C250" s="2"/>
      <c r="D250" s="16"/>
      <c r="E250" s="16"/>
      <c r="F250" s="2"/>
      <c r="G250" s="2"/>
      <c r="H250" s="2"/>
      <c r="I250" s="2"/>
      <c r="J250" s="2"/>
      <c r="K250" s="2"/>
      <c r="L250" s="2"/>
    </row>
    <row r="251" spans="1:12" ht="15.75" x14ac:dyDescent="0.25">
      <c r="A251" s="2"/>
      <c r="B251" s="2"/>
      <c r="C251" s="2"/>
      <c r="D251" s="16"/>
      <c r="E251" s="16"/>
      <c r="F251" s="2"/>
      <c r="G251" s="2"/>
      <c r="H251" s="2"/>
      <c r="I251" s="2"/>
      <c r="J251" s="2"/>
      <c r="K251" s="2"/>
      <c r="L251" s="2"/>
    </row>
    <row r="252" spans="1:12" ht="15.75" x14ac:dyDescent="0.25">
      <c r="A252" s="2"/>
      <c r="B252" s="2"/>
      <c r="C252" s="2"/>
      <c r="D252" s="16"/>
      <c r="E252" s="16"/>
      <c r="F252" s="2"/>
      <c r="G252" s="2"/>
      <c r="H252" s="2"/>
      <c r="I252" s="2"/>
      <c r="J252" s="2"/>
      <c r="K252" s="2"/>
      <c r="L252" s="2"/>
    </row>
    <row r="253" spans="1:12" ht="15.75" x14ac:dyDescent="0.25">
      <c r="A253" s="2"/>
      <c r="B253" s="2"/>
      <c r="C253" s="2"/>
      <c r="D253" s="16"/>
      <c r="E253" s="16"/>
      <c r="F253" s="2"/>
      <c r="G253" s="2"/>
      <c r="H253" s="2"/>
      <c r="I253" s="2"/>
      <c r="J253" s="2"/>
      <c r="K253" s="2"/>
      <c r="L253" s="2"/>
    </row>
    <row r="254" spans="1:12" ht="15.75" x14ac:dyDescent="0.25">
      <c r="A254" s="2"/>
      <c r="B254" s="2"/>
      <c r="C254" s="2"/>
      <c r="D254" s="16"/>
      <c r="E254" s="16"/>
      <c r="F254" s="2"/>
      <c r="G254" s="2"/>
      <c r="H254" s="2"/>
      <c r="I254" s="2"/>
      <c r="J254" s="2"/>
      <c r="K254" s="2"/>
      <c r="L254" s="2"/>
    </row>
    <row r="255" spans="1:12" ht="15.75" x14ac:dyDescent="0.25">
      <c r="A255" s="2"/>
      <c r="B255" s="2"/>
      <c r="C255" s="2"/>
      <c r="D255" s="16"/>
      <c r="E255" s="16"/>
      <c r="F255" s="2"/>
      <c r="G255" s="2"/>
      <c r="H255" s="2"/>
      <c r="I255" s="2"/>
      <c r="J255" s="2"/>
      <c r="K255" s="2"/>
      <c r="L255" s="2"/>
    </row>
    <row r="256" spans="1:12" ht="15.75" x14ac:dyDescent="0.25">
      <c r="A256" s="2"/>
      <c r="B256" s="2"/>
      <c r="C256" s="2"/>
      <c r="D256" s="16"/>
      <c r="E256" s="16"/>
      <c r="F256" s="2"/>
      <c r="G256" s="2"/>
      <c r="H256" s="2"/>
      <c r="I256" s="2"/>
      <c r="J256" s="2"/>
      <c r="K256" s="2"/>
      <c r="L256" s="2"/>
    </row>
    <row r="257" spans="1:12" ht="15.75" x14ac:dyDescent="0.25">
      <c r="A257" s="2"/>
      <c r="B257" s="2"/>
      <c r="C257" s="2"/>
      <c r="D257" s="16"/>
      <c r="E257" s="16"/>
      <c r="F257" s="2"/>
      <c r="G257" s="2"/>
      <c r="H257" s="2"/>
      <c r="I257" s="2"/>
      <c r="J257" s="2"/>
      <c r="K257" s="2"/>
      <c r="L257" s="2"/>
    </row>
    <row r="258" spans="1:12" ht="15.75" x14ac:dyDescent="0.25">
      <c r="A258" s="2"/>
      <c r="B258" s="2"/>
      <c r="C258" s="2"/>
      <c r="D258" s="16"/>
      <c r="E258" s="16"/>
      <c r="F258" s="2"/>
      <c r="G258" s="2"/>
      <c r="H258" s="2"/>
      <c r="I258" s="2"/>
      <c r="J258" s="2"/>
      <c r="K258" s="2"/>
      <c r="L258" s="2"/>
    </row>
    <row r="259" spans="1:12" ht="15.75" x14ac:dyDescent="0.25">
      <c r="A259" s="2"/>
      <c r="B259" s="2"/>
      <c r="C259" s="2"/>
      <c r="D259" s="16"/>
      <c r="E259" s="16"/>
      <c r="F259" s="2"/>
      <c r="G259" s="2"/>
      <c r="H259" s="2"/>
      <c r="I259" s="2"/>
      <c r="J259" s="2"/>
      <c r="K259" s="2"/>
      <c r="L259" s="2"/>
    </row>
  </sheetData>
  <mergeCells count="16">
    <mergeCell ref="A233:J233"/>
    <mergeCell ref="A2:J2"/>
    <mergeCell ref="A215:G215"/>
    <mergeCell ref="H215:J215"/>
    <mergeCell ref="I1:J1"/>
    <mergeCell ref="A154:G154"/>
    <mergeCell ref="A181:G181"/>
    <mergeCell ref="A208:G208"/>
    <mergeCell ref="A47:G47"/>
    <mergeCell ref="A18:G18"/>
    <mergeCell ref="A4:G4"/>
    <mergeCell ref="A198:G198"/>
    <mergeCell ref="A104:G104"/>
    <mergeCell ref="A133:G133"/>
    <mergeCell ref="A168:G168"/>
    <mergeCell ref="A202:G202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2024-03-06T13:01:06Z</dcterms:modified>
</cp:coreProperties>
</file>