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58" i="1" l="1"/>
  <c r="I156" i="1"/>
  <c r="I134" i="1"/>
  <c r="I130" i="1"/>
  <c r="I118" i="1"/>
  <c r="I108" i="1"/>
  <c r="I91" i="1"/>
  <c r="I48" i="1"/>
  <c r="I35" i="1"/>
  <c r="I15" i="1"/>
  <c r="F93" i="1"/>
  <c r="H93" i="1" s="1"/>
  <c r="F79" i="1"/>
  <c r="H79" i="1" s="1"/>
  <c r="I93" i="1" l="1"/>
  <c r="I79" i="1"/>
  <c r="F149" i="1"/>
  <c r="H149" i="1" s="1"/>
  <c r="F148" i="1"/>
  <c r="H148" i="1" s="1"/>
  <c r="H40" i="1"/>
  <c r="F40" i="1"/>
  <c r="H129" i="1"/>
  <c r="F129" i="1"/>
  <c r="H127" i="1"/>
  <c r="F127" i="1"/>
  <c r="H110" i="1"/>
  <c r="F110" i="1"/>
  <c r="H113" i="1"/>
  <c r="F113" i="1"/>
  <c r="F51" i="1"/>
  <c r="H51" i="1" s="1"/>
  <c r="I40" i="1" l="1"/>
  <c r="F112" i="1" l="1"/>
  <c r="H112" i="1" s="1"/>
  <c r="F111" i="1"/>
  <c r="H111" i="1" l="1"/>
  <c r="I111" i="1" s="1"/>
  <c r="I112" i="1"/>
  <c r="I51" i="1"/>
  <c r="F5" i="1"/>
  <c r="H5" i="1" l="1"/>
  <c r="I5" i="1" s="1"/>
  <c r="H26" i="1"/>
  <c r="I26" i="1" s="1"/>
  <c r="F25" i="1"/>
  <c r="H25" i="1" s="1"/>
  <c r="F24" i="1"/>
  <c r="H24" i="1" s="1"/>
  <c r="F154" i="1"/>
  <c r="H154" i="1" s="1"/>
  <c r="F126" i="1"/>
  <c r="H126" i="1" s="1"/>
  <c r="F88" i="1"/>
  <c r="H88" i="1" l="1"/>
  <c r="I88" i="1" s="1"/>
  <c r="I154" i="1"/>
  <c r="I24" i="1"/>
  <c r="I25" i="1"/>
  <c r="H124" i="1"/>
  <c r="I124" i="1" s="1"/>
  <c r="H155" i="1"/>
  <c r="I155" i="1" s="1"/>
  <c r="F120" i="1"/>
  <c r="F60" i="1"/>
  <c r="H60" i="1" s="1"/>
  <c r="H120" i="1" l="1"/>
  <c r="I120" i="1" s="1"/>
  <c r="H151" i="1" l="1"/>
  <c r="I151" i="1" s="1"/>
  <c r="H150" i="1"/>
  <c r="I150" i="1" s="1"/>
  <c r="F152" i="1"/>
  <c r="H152" i="1" s="1"/>
  <c r="F153" i="1"/>
  <c r="H153" i="1" s="1"/>
  <c r="F70" i="1"/>
  <c r="F125" i="1"/>
  <c r="H125" i="1" s="1"/>
  <c r="F54" i="1"/>
  <c r="H54" i="1" s="1"/>
  <c r="F53" i="1"/>
  <c r="H53" i="1" s="1"/>
  <c r="H70" i="1" l="1"/>
  <c r="I70" i="1" s="1"/>
  <c r="F28" i="1"/>
  <c r="F147" i="1"/>
  <c r="I147" i="1" s="1"/>
  <c r="F52" i="1"/>
  <c r="H52" i="1" s="1"/>
  <c r="I149" i="1"/>
  <c r="I146" i="1"/>
  <c r="H28" i="1" l="1"/>
  <c r="I28" i="1" s="1"/>
  <c r="I148" i="1"/>
  <c r="I152" i="1" l="1"/>
  <c r="I113" i="1"/>
  <c r="I110" i="1"/>
  <c r="I123" i="1"/>
  <c r="I125" i="1"/>
  <c r="I153" i="1" l="1"/>
  <c r="I157" i="1" s="1"/>
  <c r="I126" i="1" l="1"/>
  <c r="I60" i="1"/>
  <c r="I129" i="1" l="1"/>
  <c r="I143" i="1"/>
  <c r="I144" i="1" s="1"/>
  <c r="I52" i="1" l="1"/>
  <c r="I54" i="1" l="1"/>
  <c r="I53" i="1"/>
  <c r="I127" i="1"/>
  <c r="I77" i="1" l="1"/>
  <c r="I136" i="1"/>
  <c r="I140" i="1" s="1"/>
  <c r="I133" i="1"/>
</calcChain>
</file>

<file path=xl/sharedStrings.xml><?xml version="1.0" encoding="utf-8"?>
<sst xmlns="http://schemas.openxmlformats.org/spreadsheetml/2006/main" count="711" uniqueCount="225">
  <si>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</si>
  <si>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</si>
  <si>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</si>
  <si>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</si>
  <si>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</si>
  <si>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</si>
  <si>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</si>
  <si>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</si>
  <si>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</si>
  <si>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</si>
  <si>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</si>
  <si>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</si>
  <si>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</si>
  <si>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</si>
  <si>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</si>
  <si>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</si>
  <si>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</si>
  <si>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</si>
  <si>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</si>
  <si>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</si>
  <si>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</si>
  <si>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</si>
  <si>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</si>
  <si>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</si>
  <si>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</si>
  <si>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</si>
  <si>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</si>
  <si>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</si>
  <si>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</si>
  <si>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</si>
  <si>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</si>
  <si>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</si>
  <si>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</si>
  <si>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</si>
  <si>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</si>
  <si>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</si>
  <si>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</si>
  <si>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</si>
  <si>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</si>
  <si>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</si>
  <si>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</si>
  <si>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</si>
  <si>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</si>
  <si>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</si>
  <si>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</si>
  <si>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</si>
  <si>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</si>
  <si>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</si>
  <si>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</si>
  <si>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</si>
  <si>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</si>
  <si>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</si>
  <si>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</si>
  <si>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</si>
  <si>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</si>
  <si>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</si>
  <si>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</si>
  <si>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</si>
  <si>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</si>
  <si>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</si>
  <si>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</si>
  <si>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</si>
  <si>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</si>
  <si>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</si>
  <si>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</si>
  <si>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</si>
  <si>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</si>
  <si>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</si>
  <si>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</si>
  <si>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</si>
  <si>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</si>
  <si>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</si>
  <si>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</si>
  <si>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</si>
  <si>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</si>
  <si>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</si>
  <si>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</si>
  <si>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</si>
  <si>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</si>
  <si>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</si>
  <si>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</si>
  <si>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</si>
  <si>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</si>
  <si>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</si>
  <si>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</si>
  <si>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</si>
  <si>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</si>
  <si>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</si>
  <si>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</si>
  <si>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</si>
  <si>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</si>
  <si>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</si>
  <si>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</si>
  <si>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</si>
  <si>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</si>
  <si>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</si>
  <si>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</si>
  <si>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</si>
  <si>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</si>
  <si>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</si>
  <si>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</si>
  <si>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</si>
  <si>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</si>
  <si>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</si>
  <si>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</si>
  <si>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</si>
  <si>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</si>
  <si>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</si>
  <si>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</si>
  <si>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</si>
  <si>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</si>
  <si>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</si>
  <si>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</si>
  <si>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</si>
  <si>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</si>
  <si>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</si>
  <si>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</si>
  <si>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</si>
  <si>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</si>
  <si>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</si>
  <si>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</si>
  <si>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</si>
  <si>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</si>
  <si>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</si>
  <si>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</si>
  <si>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</si>
  <si>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</si>
  <si>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</si>
  <si>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</si>
  <si>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</si>
  <si>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</si>
  <si>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</si>
  <si>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</si>
  <si>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</si>
  <si>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</si>
  <si>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</si>
  <si>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</si>
  <si>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</si>
  <si>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</si>
  <si>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</si>
  <si>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</si>
  <si>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</si>
  <si>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</si>
  <si>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</si>
  <si>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демонтаж дверных коробок</t>
  </si>
  <si>
    <t>1 коробка</t>
  </si>
  <si>
    <t>демонтаж и монтаж дверей металлических тамбурных</t>
  </si>
  <si>
    <t>установка решеток на приямки</t>
  </si>
  <si>
    <t>кг</t>
  </si>
  <si>
    <t>благоустройство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</si>
  <si>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</si>
  <si>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</si>
  <si>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</si>
  <si>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</si>
  <si>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</si>
  <si>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</si>
  <si>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</si>
  <si>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</si>
  <si>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</si>
  <si>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</si>
  <si>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</si>
  <si>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</si>
  <si>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</si>
  <si>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</si>
  <si>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</si>
  <si>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</si>
  <si>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</si>
  <si>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врезка в действующие сети трубопроводов отопления и водоснабжения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</si>
  <si>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</si>
  <si>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</si>
  <si>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</si>
  <si>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</si>
  <si>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</si>
  <si>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</si>
  <si>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</si>
  <si>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</si>
  <si>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</si>
  <si>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</si>
  <si>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</si>
  <si>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</si>
  <si>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</si>
  <si>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</si>
  <si>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</si>
  <si>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</si>
  <si>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</si>
  <si>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</si>
  <si>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</si>
  <si>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</si>
  <si>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</si>
  <si>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 xml:space="preserve"> смена кранов на шаровые краны диам.15,20мм</t>
  </si>
  <si>
    <t xml:space="preserve"> смена кранов на шаровые краны диам.25,32мм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</si>
  <si>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</si>
  <si>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</si>
  <si>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</si>
  <si>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</si>
  <si>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</si>
  <si>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</si>
  <si>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</si>
  <si>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</si>
  <si>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м2 окрашиваемой поверхности</t>
  </si>
  <si>
    <t>окраска масляными составами бордюров без подготовки с расчисткой старой краски до 10%</t>
  </si>
  <si>
    <t>окраска масляными составами металлических решеток и оград без рельефа за 1 раз</t>
  </si>
  <si>
    <t>смена клапана впускного</t>
  </si>
  <si>
    <t>регулировка смывного бачка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</si>
  <si>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</si>
  <si>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5б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</si>
  <si>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</si>
  <si>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</si>
  <si>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простая масляная окраска ранее окрашенных фасадов без подготовки с расчисткой старой краски до 10%(закрашивание надписей)</t>
  </si>
  <si>
    <t>корчевка пней вручную</t>
  </si>
  <si>
    <t>ремонт металлических ограждений средний</t>
  </si>
  <si>
    <t xml:space="preserve">2 квартал </t>
  </si>
  <si>
    <t xml:space="preserve"> </t>
  </si>
  <si>
    <t>справка о техническом состоянии здания</t>
  </si>
  <si>
    <t>смена выключателей</t>
  </si>
  <si>
    <t>смена досок на скамейках</t>
  </si>
  <si>
    <t>м</t>
  </si>
  <si>
    <t>устройство бетонных плитных крылец</t>
  </si>
  <si>
    <t>заделка швов цементным раствором на ступенях</t>
  </si>
  <si>
    <t>простая масляная окраска подступенников без подготовки</t>
  </si>
  <si>
    <t xml:space="preserve">ремонт мягкого покрытия кровли </t>
  </si>
  <si>
    <t>проверка на прогрев отопительных приборов с регулировкой</t>
  </si>
  <si>
    <t>разборка трубопроводов из чугунных канализационных труб диаметром 100мм</t>
  </si>
  <si>
    <t>прокаладка трубопроводов канализации из полиэтиленовых труб высокой плотности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</si>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</sst>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0" borderId="0" xfId="0" applyNumberFormat="1" applyFont="1"/>
    <xf numFmtId="0" fontId="8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topLeftCell="A156" zoomScale="91" zoomScaleNormal="91" workbookViewId="0">
      <selection activeCell="I161" sqref="I161:I164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0" t="s">
        <v>94</v>
      </c>
      <c r="J1" s="70"/>
    </row>
    <row r="2" spans="1:12" ht="70.5" customHeight="1" x14ac:dyDescent="0.25">
      <c r="A2" s="65" t="s">
        <v>205</v>
      </c>
      <c r="B2" s="66"/>
      <c r="C2" s="66"/>
      <c r="D2" s="66"/>
      <c r="E2" s="66"/>
      <c r="F2" s="66"/>
      <c r="G2" s="66"/>
      <c r="H2" s="66"/>
      <c r="I2" s="66"/>
      <c r="J2" s="66"/>
      <c r="K2" s="2"/>
      <c r="L2" s="2"/>
    </row>
    <row r="3" spans="1:12" ht="75" x14ac:dyDescent="0.25">
      <c r="A3" s="20" t="s">
        <v>79</v>
      </c>
      <c r="B3" s="3"/>
      <c r="C3" s="3"/>
      <c r="D3" s="20" t="s">
        <v>98</v>
      </c>
      <c r="E3" s="20" t="s">
        <v>102</v>
      </c>
      <c r="F3" s="21" t="s">
        <v>100</v>
      </c>
      <c r="G3" s="21" t="s">
        <v>78</v>
      </c>
      <c r="H3" s="21" t="s">
        <v>77</v>
      </c>
      <c r="I3" s="21" t="s">
        <v>99</v>
      </c>
      <c r="J3" s="21" t="s">
        <v>101</v>
      </c>
      <c r="K3" s="2"/>
      <c r="L3" s="2"/>
    </row>
    <row r="4" spans="1:12" ht="18.75" x14ac:dyDescent="0.3">
      <c r="A4" s="71" t="s">
        <v>85</v>
      </c>
      <c r="B4" s="72"/>
      <c r="C4" s="72"/>
      <c r="D4" s="72"/>
      <c r="E4" s="72"/>
      <c r="F4" s="72"/>
      <c r="G4" s="73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220</v>
      </c>
      <c r="E5" s="41"/>
      <c r="F5" s="41">
        <f>416.43</f>
        <v>416.43</v>
      </c>
      <c r="G5" s="13" t="s">
        <v>111</v>
      </c>
      <c r="H5" s="45">
        <f>520538/F5</f>
        <v>1250.0012006819873</v>
      </c>
      <c r="I5" s="56">
        <f>F5*H5</f>
        <v>520537.99999999994</v>
      </c>
      <c r="J5" s="13"/>
      <c r="K5" s="2"/>
      <c r="L5" s="2"/>
    </row>
    <row r="6" spans="1:12" ht="18.75" x14ac:dyDescent="0.3">
      <c r="A6" s="6"/>
      <c r="B6" s="5"/>
      <c r="C6" s="4"/>
      <c r="D6" s="15" t="s">
        <v>118</v>
      </c>
      <c r="E6" s="41" t="s">
        <v>138</v>
      </c>
      <c r="F6" s="41" t="s">
        <v>138</v>
      </c>
      <c r="G6" s="13" t="s">
        <v>111</v>
      </c>
      <c r="H6" s="41" t="s">
        <v>138</v>
      </c>
      <c r="I6" s="41" t="s">
        <v>138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155</v>
      </c>
      <c r="E7" s="41" t="s">
        <v>138</v>
      </c>
      <c r="F7" s="41" t="s">
        <v>138</v>
      </c>
      <c r="G7" s="13" t="s">
        <v>29</v>
      </c>
      <c r="H7" s="41" t="s">
        <v>138</v>
      </c>
      <c r="I7" s="41" t="s">
        <v>138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37</v>
      </c>
      <c r="E8" s="41" t="s">
        <v>138</v>
      </c>
      <c r="F8" s="41" t="s">
        <v>138</v>
      </c>
      <c r="G8" s="13" t="s">
        <v>29</v>
      </c>
      <c r="H8" s="41" t="s">
        <v>138</v>
      </c>
      <c r="I8" s="41" t="s">
        <v>138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36</v>
      </c>
      <c r="E9" s="41" t="s">
        <v>138</v>
      </c>
      <c r="F9" s="41" t="s">
        <v>138</v>
      </c>
      <c r="G9" s="13" t="s">
        <v>29</v>
      </c>
      <c r="H9" s="41" t="s">
        <v>138</v>
      </c>
      <c r="I9" s="41" t="s">
        <v>138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35</v>
      </c>
      <c r="E10" s="41" t="s">
        <v>138</v>
      </c>
      <c r="F10" s="41" t="s">
        <v>138</v>
      </c>
      <c r="G10" s="13" t="s">
        <v>29</v>
      </c>
      <c r="H10" s="41" t="s">
        <v>138</v>
      </c>
      <c r="I10" s="41" t="s">
        <v>138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84</v>
      </c>
      <c r="E11" s="41" t="s">
        <v>138</v>
      </c>
      <c r="F11" s="41" t="s">
        <v>138</v>
      </c>
      <c r="G11" s="13" t="s">
        <v>30</v>
      </c>
      <c r="H11" s="41" t="s">
        <v>138</v>
      </c>
      <c r="I11" s="41" t="s">
        <v>138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34</v>
      </c>
      <c r="E12" s="41" t="s">
        <v>138</v>
      </c>
      <c r="F12" s="41" t="s">
        <v>138</v>
      </c>
      <c r="G12" s="14" t="s">
        <v>30</v>
      </c>
      <c r="H12" s="41" t="s">
        <v>138</v>
      </c>
      <c r="I12" s="41" t="s">
        <v>138</v>
      </c>
      <c r="J12" s="13"/>
      <c r="K12" s="2"/>
      <c r="L12" s="2"/>
    </row>
    <row r="13" spans="1:12" ht="32.25" x14ac:dyDescent="0.3">
      <c r="A13" s="6" t="s">
        <v>60</v>
      </c>
      <c r="B13" s="5"/>
      <c r="C13" s="4"/>
      <c r="D13" s="15" t="s">
        <v>50</v>
      </c>
      <c r="E13" s="41" t="s">
        <v>138</v>
      </c>
      <c r="F13" s="41" t="s">
        <v>138</v>
      </c>
      <c r="G13" s="13" t="s">
        <v>29</v>
      </c>
      <c r="H13" s="41" t="s">
        <v>138</v>
      </c>
      <c r="I13" s="41" t="s">
        <v>138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33</v>
      </c>
      <c r="E14" s="41" t="s">
        <v>138</v>
      </c>
      <c r="F14" s="41" t="s">
        <v>138</v>
      </c>
      <c r="G14" s="13" t="s">
        <v>29</v>
      </c>
      <c r="H14" s="41" t="s">
        <v>138</v>
      </c>
      <c r="I14" s="41" t="s">
        <v>138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46"/>
      <c r="F15" s="46"/>
      <c r="G15" s="31"/>
      <c r="H15" s="41"/>
      <c r="I15" s="45">
        <f>SUM(I5:I14)</f>
        <v>520537.99999999994</v>
      </c>
      <c r="J15" s="13"/>
      <c r="K15" s="2"/>
      <c r="L15" s="2"/>
    </row>
    <row r="16" spans="1:12" ht="18.75" x14ac:dyDescent="0.3">
      <c r="A16" s="71" t="s">
        <v>54</v>
      </c>
      <c r="B16" s="72"/>
      <c r="C16" s="72"/>
      <c r="D16" s="72"/>
      <c r="E16" s="72"/>
      <c r="F16" s="72"/>
      <c r="G16" s="73"/>
      <c r="H16" s="14"/>
      <c r="I16" s="5"/>
      <c r="J16" s="13"/>
      <c r="L16" s="2"/>
    </row>
    <row r="17" spans="1:12" ht="18.75" x14ac:dyDescent="0.3">
      <c r="A17" s="6" t="s">
        <v>18</v>
      </c>
      <c r="B17" s="5"/>
      <c r="C17" s="4"/>
      <c r="D17" s="4" t="s">
        <v>93</v>
      </c>
      <c r="E17" s="41" t="s">
        <v>138</v>
      </c>
      <c r="F17" s="41" t="s">
        <v>138</v>
      </c>
      <c r="G17" s="14" t="s">
        <v>52</v>
      </c>
      <c r="H17" s="41" t="s">
        <v>138</v>
      </c>
      <c r="I17" s="41" t="s">
        <v>138</v>
      </c>
      <c r="J17" s="13"/>
      <c r="L17" s="2"/>
    </row>
    <row r="18" spans="1:12" ht="18.75" x14ac:dyDescent="0.3">
      <c r="A18" s="6" t="s">
        <v>12</v>
      </c>
      <c r="B18" s="5"/>
      <c r="C18" s="4"/>
      <c r="D18" s="4" t="s">
        <v>40</v>
      </c>
      <c r="E18" s="41" t="s">
        <v>138</v>
      </c>
      <c r="F18" s="41" t="s">
        <v>138</v>
      </c>
      <c r="G18" s="14" t="s">
        <v>51</v>
      </c>
      <c r="H18" s="41" t="s">
        <v>138</v>
      </c>
      <c r="I18" s="41" t="s">
        <v>138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32</v>
      </c>
      <c r="E19" s="41" t="s">
        <v>138</v>
      </c>
      <c r="F19" s="41" t="s">
        <v>138</v>
      </c>
      <c r="G19" s="14" t="s">
        <v>51</v>
      </c>
      <c r="H19" s="41" t="s">
        <v>138</v>
      </c>
      <c r="I19" s="41" t="s">
        <v>138</v>
      </c>
      <c r="J19" s="13"/>
      <c r="K19" s="2"/>
      <c r="L19" s="2"/>
    </row>
    <row r="20" spans="1:12" ht="18.75" x14ac:dyDescent="0.3">
      <c r="A20" s="6" t="s">
        <v>10</v>
      </c>
      <c r="B20" s="5"/>
      <c r="C20" s="4"/>
      <c r="D20" s="4" t="s">
        <v>38</v>
      </c>
      <c r="E20" s="41" t="s">
        <v>138</v>
      </c>
      <c r="F20" s="41" t="s">
        <v>138</v>
      </c>
      <c r="G20" s="14" t="s">
        <v>51</v>
      </c>
      <c r="H20" s="41" t="s">
        <v>138</v>
      </c>
      <c r="I20" s="41" t="s">
        <v>138</v>
      </c>
      <c r="J20" s="13"/>
      <c r="K20" s="2"/>
      <c r="L20" s="2"/>
    </row>
    <row r="21" spans="1:12" ht="18.75" x14ac:dyDescent="0.3">
      <c r="A21" s="6"/>
      <c r="B21" s="5"/>
      <c r="C21" s="4"/>
      <c r="D21" s="4" t="s">
        <v>147</v>
      </c>
      <c r="E21" s="41" t="s">
        <v>138</v>
      </c>
      <c r="F21" s="41" t="s">
        <v>138</v>
      </c>
      <c r="G21" s="14" t="s">
        <v>148</v>
      </c>
      <c r="H21" s="41" t="s">
        <v>138</v>
      </c>
      <c r="I21" s="41" t="s">
        <v>138</v>
      </c>
      <c r="J21" s="13"/>
      <c r="K21" s="2"/>
      <c r="L21" s="2"/>
    </row>
    <row r="22" spans="1:12" ht="18.75" x14ac:dyDescent="0.3">
      <c r="A22" s="6" t="s">
        <v>8</v>
      </c>
      <c r="B22" s="5"/>
      <c r="C22" s="4"/>
      <c r="D22" s="4" t="s">
        <v>31</v>
      </c>
      <c r="E22" s="41" t="s">
        <v>138</v>
      </c>
      <c r="F22" s="41" t="s">
        <v>138</v>
      </c>
      <c r="G22" s="13" t="s">
        <v>29</v>
      </c>
      <c r="H22" s="41" t="s">
        <v>138</v>
      </c>
      <c r="I22" s="41" t="s">
        <v>138</v>
      </c>
      <c r="J22" s="13"/>
      <c r="K22" s="2"/>
      <c r="L22" s="2"/>
    </row>
    <row r="23" spans="1:12" ht="24.75" customHeight="1" x14ac:dyDescent="0.3">
      <c r="A23" s="6" t="s">
        <v>11</v>
      </c>
      <c r="B23" s="5"/>
      <c r="C23" s="4"/>
      <c r="D23" s="15" t="s">
        <v>39</v>
      </c>
      <c r="E23" s="41" t="s">
        <v>138</v>
      </c>
      <c r="F23" s="41" t="s">
        <v>138</v>
      </c>
      <c r="G23" s="14" t="s">
        <v>51</v>
      </c>
      <c r="H23" s="41" t="s">
        <v>138</v>
      </c>
      <c r="I23" s="41" t="s">
        <v>138</v>
      </c>
      <c r="J23" s="13"/>
      <c r="K23" s="2"/>
      <c r="L23" s="2"/>
    </row>
    <row r="24" spans="1:12" ht="24.75" customHeight="1" x14ac:dyDescent="0.3">
      <c r="A24" s="6"/>
      <c r="B24" s="5"/>
      <c r="C24" s="4"/>
      <c r="D24" s="15" t="s">
        <v>217</v>
      </c>
      <c r="E24" s="41"/>
      <c r="F24" s="41">
        <f>1.5</f>
        <v>1.5</v>
      </c>
      <c r="G24" s="14" t="s">
        <v>111</v>
      </c>
      <c r="H24" s="45">
        <f>1579/F24</f>
        <v>1052.6666666666667</v>
      </c>
      <c r="I24" s="57">
        <f>F24*H24</f>
        <v>1579</v>
      </c>
      <c r="J24" s="13" t="s">
        <v>116</v>
      </c>
      <c r="K24" s="2"/>
      <c r="L24" s="2"/>
    </row>
    <row r="25" spans="1:12" ht="35.25" customHeight="1" x14ac:dyDescent="0.3">
      <c r="A25" s="6"/>
      <c r="B25" s="5"/>
      <c r="C25" s="4"/>
      <c r="D25" s="15" t="s">
        <v>218</v>
      </c>
      <c r="E25" s="41"/>
      <c r="F25" s="41">
        <f>4.5</f>
        <v>4.5</v>
      </c>
      <c r="G25" s="14" t="s">
        <v>216</v>
      </c>
      <c r="H25" s="45">
        <f>1009/F25</f>
        <v>224.22222222222223</v>
      </c>
      <c r="I25" s="57">
        <f>F25*H25</f>
        <v>1009</v>
      </c>
      <c r="J25" s="13" t="s">
        <v>116</v>
      </c>
      <c r="K25" s="2"/>
      <c r="L25" s="2"/>
    </row>
    <row r="26" spans="1:12" ht="24.75" customHeight="1" x14ac:dyDescent="0.3">
      <c r="A26" s="6"/>
      <c r="B26" s="5"/>
      <c r="C26" s="4"/>
      <c r="D26" s="15" t="s">
        <v>219</v>
      </c>
      <c r="E26" s="41"/>
      <c r="F26" s="41">
        <v>8.3000000000000007</v>
      </c>
      <c r="G26" s="14" t="s">
        <v>111</v>
      </c>
      <c r="H26" s="45">
        <f>1297/F26</f>
        <v>156.26506024096383</v>
      </c>
      <c r="I26" s="57">
        <f>F26*H26</f>
        <v>1297</v>
      </c>
      <c r="J26" s="13" t="s">
        <v>116</v>
      </c>
      <c r="K26" s="2"/>
      <c r="L26" s="2"/>
    </row>
    <row r="27" spans="1:12" ht="18.75" x14ac:dyDescent="0.3">
      <c r="A27" s="6" t="s">
        <v>53</v>
      </c>
      <c r="B27" s="5"/>
      <c r="C27" s="4"/>
      <c r="D27" s="15" t="s">
        <v>198</v>
      </c>
      <c r="E27" s="41" t="s">
        <v>138</v>
      </c>
      <c r="F27" s="41" t="s">
        <v>138</v>
      </c>
      <c r="G27" s="14" t="s">
        <v>29</v>
      </c>
      <c r="H27" s="41" t="s">
        <v>138</v>
      </c>
      <c r="I27" s="41" t="s">
        <v>138</v>
      </c>
      <c r="J27" s="13"/>
      <c r="L27" s="2"/>
    </row>
    <row r="28" spans="1:12" ht="48" x14ac:dyDescent="0.3">
      <c r="A28" s="6"/>
      <c r="B28" s="5"/>
      <c r="C28" s="4"/>
      <c r="D28" s="15" t="s">
        <v>208</v>
      </c>
      <c r="E28" s="41" t="s">
        <v>138</v>
      </c>
      <c r="F28" s="41">
        <f>1</f>
        <v>1</v>
      </c>
      <c r="G28" s="13" t="s">
        <v>111</v>
      </c>
      <c r="H28" s="41">
        <f>152.2/F28</f>
        <v>152.19999999999999</v>
      </c>
      <c r="I28" s="57">
        <f>F28*H28</f>
        <v>152.19999999999999</v>
      </c>
      <c r="J28" s="13" t="s">
        <v>120</v>
      </c>
      <c r="L28" s="2"/>
    </row>
    <row r="29" spans="1:12" ht="32.25" x14ac:dyDescent="0.3">
      <c r="A29" s="6" t="s">
        <v>55</v>
      </c>
      <c r="B29" s="5"/>
      <c r="C29" s="4"/>
      <c r="D29" s="15" t="s">
        <v>92</v>
      </c>
      <c r="E29" s="41" t="s">
        <v>138</v>
      </c>
      <c r="F29" s="41" t="s">
        <v>138</v>
      </c>
      <c r="G29" s="14" t="s">
        <v>51</v>
      </c>
      <c r="H29" s="41" t="s">
        <v>138</v>
      </c>
      <c r="I29" s="41" t="s">
        <v>138</v>
      </c>
      <c r="J29" s="13"/>
      <c r="L29" s="2"/>
    </row>
    <row r="30" spans="1:12" ht="32.25" x14ac:dyDescent="0.3">
      <c r="A30" s="6" t="s">
        <v>13</v>
      </c>
      <c r="B30" s="5"/>
      <c r="C30" s="4"/>
      <c r="D30" s="15" t="s">
        <v>91</v>
      </c>
      <c r="E30" s="41" t="s">
        <v>138</v>
      </c>
      <c r="F30" s="41" t="s">
        <v>138</v>
      </c>
      <c r="G30" s="14" t="s">
        <v>52</v>
      </c>
      <c r="H30" s="41" t="s">
        <v>138</v>
      </c>
      <c r="I30" s="41" t="s">
        <v>138</v>
      </c>
      <c r="J30" s="13"/>
      <c r="L30" s="2"/>
    </row>
    <row r="31" spans="1:12" ht="18.75" x14ac:dyDescent="0.3">
      <c r="A31" s="6" t="s">
        <v>14</v>
      </c>
      <c r="B31" s="5"/>
      <c r="C31" s="4"/>
      <c r="D31" s="4" t="s">
        <v>41</v>
      </c>
      <c r="E31" s="41" t="s">
        <v>138</v>
      </c>
      <c r="F31" s="41" t="s">
        <v>138</v>
      </c>
      <c r="G31" s="14" t="s">
        <v>52</v>
      </c>
      <c r="H31" s="41" t="s">
        <v>138</v>
      </c>
      <c r="I31" s="41" t="s">
        <v>138</v>
      </c>
      <c r="J31" s="13"/>
      <c r="L31" s="2"/>
    </row>
    <row r="32" spans="1:12" ht="18.75" x14ac:dyDescent="0.3">
      <c r="A32" s="6" t="s">
        <v>15</v>
      </c>
      <c r="B32" s="5"/>
      <c r="C32" s="4"/>
      <c r="D32" s="4" t="s">
        <v>42</v>
      </c>
      <c r="E32" s="41" t="s">
        <v>138</v>
      </c>
      <c r="F32" s="41" t="s">
        <v>138</v>
      </c>
      <c r="G32" s="14" t="s">
        <v>51</v>
      </c>
      <c r="H32" s="41" t="s">
        <v>138</v>
      </c>
      <c r="I32" s="41" t="s">
        <v>138</v>
      </c>
      <c r="J32" s="13"/>
      <c r="L32" s="2"/>
    </row>
    <row r="33" spans="1:12" ht="18.75" x14ac:dyDescent="0.3">
      <c r="A33" s="6" t="s">
        <v>16</v>
      </c>
      <c r="B33" s="5"/>
      <c r="C33" s="4"/>
      <c r="D33" s="4" t="s">
        <v>43</v>
      </c>
      <c r="E33" s="41" t="s">
        <v>138</v>
      </c>
      <c r="F33" s="41" t="s">
        <v>138</v>
      </c>
      <c r="G33" s="13" t="s">
        <v>29</v>
      </c>
      <c r="H33" s="41" t="s">
        <v>138</v>
      </c>
      <c r="I33" s="41" t="s">
        <v>138</v>
      </c>
      <c r="J33" s="13"/>
      <c r="L33" s="2"/>
    </row>
    <row r="34" spans="1:12" ht="18.75" x14ac:dyDescent="0.3">
      <c r="A34" s="6" t="s">
        <v>17</v>
      </c>
      <c r="B34" s="5"/>
      <c r="C34" s="4"/>
      <c r="D34" s="4" t="s">
        <v>44</v>
      </c>
      <c r="E34" s="41" t="s">
        <v>138</v>
      </c>
      <c r="F34" s="41" t="s">
        <v>138</v>
      </c>
      <c r="G34" s="14" t="s">
        <v>52</v>
      </c>
      <c r="H34" s="41" t="s">
        <v>138</v>
      </c>
      <c r="I34" s="41" t="s">
        <v>138</v>
      </c>
      <c r="J34" s="13"/>
      <c r="L34" s="2"/>
    </row>
    <row r="35" spans="1:12" ht="18.75" x14ac:dyDescent="0.3">
      <c r="A35" s="28"/>
      <c r="B35" s="22"/>
      <c r="C35" s="22"/>
      <c r="D35" s="22"/>
      <c r="E35" s="46"/>
      <c r="F35" s="46"/>
      <c r="G35" s="12"/>
      <c r="H35" s="41"/>
      <c r="I35" s="41">
        <f>SUM(I24:I34)</f>
        <v>4037.2</v>
      </c>
      <c r="J35" s="13"/>
      <c r="L35" s="2"/>
    </row>
    <row r="36" spans="1:12" ht="24" customHeight="1" x14ac:dyDescent="0.3">
      <c r="A36" s="71" t="s">
        <v>83</v>
      </c>
      <c r="B36" s="72"/>
      <c r="C36" s="72"/>
      <c r="D36" s="72"/>
      <c r="E36" s="72"/>
      <c r="F36" s="72"/>
      <c r="G36" s="73"/>
      <c r="H36" s="14"/>
      <c r="I36" s="5"/>
      <c r="J36" s="13"/>
      <c r="L36" s="2"/>
    </row>
    <row r="37" spans="1:12" ht="32.25" customHeight="1" x14ac:dyDescent="0.3">
      <c r="A37" s="6" t="s">
        <v>47</v>
      </c>
      <c r="B37" s="5"/>
      <c r="C37" s="4"/>
      <c r="D37" s="15" t="s">
        <v>188</v>
      </c>
      <c r="E37" s="41" t="s">
        <v>138</v>
      </c>
      <c r="F37" s="41" t="s">
        <v>138</v>
      </c>
      <c r="G37" s="38" t="s">
        <v>30</v>
      </c>
      <c r="H37" s="41"/>
      <c r="I37" s="41" t="s">
        <v>138</v>
      </c>
      <c r="J37" s="13"/>
      <c r="L37" s="2"/>
    </row>
    <row r="38" spans="1:12" ht="32.25" customHeight="1" x14ac:dyDescent="0.3">
      <c r="A38" s="6"/>
      <c r="B38" s="5"/>
      <c r="C38" s="4"/>
      <c r="D38" s="15" t="s">
        <v>144</v>
      </c>
      <c r="E38" s="41" t="s">
        <v>138</v>
      </c>
      <c r="F38" s="41" t="s">
        <v>138</v>
      </c>
      <c r="G38" s="13" t="s">
        <v>145</v>
      </c>
      <c r="H38" s="41" t="s">
        <v>138</v>
      </c>
      <c r="I38" s="41" t="s">
        <v>138</v>
      </c>
      <c r="J38" s="13"/>
      <c r="L38" s="2"/>
    </row>
    <row r="39" spans="1:12" ht="32.25" customHeight="1" x14ac:dyDescent="0.3">
      <c r="A39" s="6"/>
      <c r="B39" s="5"/>
      <c r="C39" s="4"/>
      <c r="D39" s="15" t="s">
        <v>146</v>
      </c>
      <c r="E39" s="41" t="s">
        <v>138</v>
      </c>
      <c r="F39" s="41" t="s">
        <v>138</v>
      </c>
      <c r="G39" s="13" t="s">
        <v>30</v>
      </c>
      <c r="H39" s="41" t="s">
        <v>138</v>
      </c>
      <c r="I39" s="41" t="s">
        <v>138</v>
      </c>
      <c r="J39" s="13"/>
      <c r="L39" s="2"/>
    </row>
    <row r="40" spans="1:12" ht="32.25" customHeight="1" x14ac:dyDescent="0.3">
      <c r="A40" s="6"/>
      <c r="B40" s="5"/>
      <c r="C40" s="4"/>
      <c r="D40" s="15" t="s">
        <v>160</v>
      </c>
      <c r="E40" s="41" t="s">
        <v>138</v>
      </c>
      <c r="F40" s="41">
        <f>1</f>
        <v>1</v>
      </c>
      <c r="G40" s="13" t="s">
        <v>30</v>
      </c>
      <c r="H40" s="41">
        <f>1438/F40</f>
        <v>1438</v>
      </c>
      <c r="I40" s="57">
        <f>F40*H40</f>
        <v>1438</v>
      </c>
      <c r="J40" s="13" t="s">
        <v>119</v>
      </c>
      <c r="L40" s="2"/>
    </row>
    <row r="41" spans="1:12" ht="32.25" x14ac:dyDescent="0.3">
      <c r="A41" s="6" t="s">
        <v>48</v>
      </c>
      <c r="B41" s="5"/>
      <c r="C41" s="4"/>
      <c r="D41" s="15" t="s">
        <v>97</v>
      </c>
      <c r="E41" s="41" t="s">
        <v>138</v>
      </c>
      <c r="F41" s="41" t="s">
        <v>138</v>
      </c>
      <c r="G41" s="13" t="s">
        <v>52</v>
      </c>
      <c r="H41" s="41" t="s">
        <v>138</v>
      </c>
      <c r="I41" s="41" t="s">
        <v>138</v>
      </c>
      <c r="J41" s="13"/>
      <c r="L41" s="2"/>
    </row>
    <row r="42" spans="1:12" ht="18.75" x14ac:dyDescent="0.3">
      <c r="A42" s="6" t="s">
        <v>58</v>
      </c>
      <c r="B42" s="5"/>
      <c r="C42" s="4"/>
      <c r="D42" s="15" t="s">
        <v>49</v>
      </c>
      <c r="E42" s="41" t="s">
        <v>138</v>
      </c>
      <c r="F42" s="41" t="s">
        <v>138</v>
      </c>
      <c r="G42" s="14" t="s">
        <v>51</v>
      </c>
      <c r="H42" s="41" t="s">
        <v>138</v>
      </c>
      <c r="I42" s="41" t="s">
        <v>138</v>
      </c>
      <c r="J42" s="13"/>
      <c r="L42" s="2"/>
    </row>
    <row r="43" spans="1:12" ht="32.25" x14ac:dyDescent="0.3">
      <c r="A43" s="6" t="s">
        <v>59</v>
      </c>
      <c r="B43" s="5"/>
      <c r="C43" s="4"/>
      <c r="D43" s="15" t="s">
        <v>61</v>
      </c>
      <c r="E43" s="41" t="s">
        <v>138</v>
      </c>
      <c r="F43" s="41" t="s">
        <v>138</v>
      </c>
      <c r="G43" s="13" t="s">
        <v>29</v>
      </c>
      <c r="H43" s="41" t="s">
        <v>138</v>
      </c>
      <c r="I43" s="41" t="s">
        <v>138</v>
      </c>
      <c r="J43" s="13"/>
      <c r="L43" s="2"/>
    </row>
    <row r="44" spans="1:12" ht="18.75" x14ac:dyDescent="0.3">
      <c r="A44" s="6"/>
      <c r="B44" s="5"/>
      <c r="C44" s="4"/>
      <c r="D44" s="15" t="s">
        <v>161</v>
      </c>
      <c r="E44" s="41" t="s">
        <v>138</v>
      </c>
      <c r="F44" s="41" t="s">
        <v>138</v>
      </c>
      <c r="G44" s="13" t="s">
        <v>30</v>
      </c>
      <c r="H44" s="41" t="s">
        <v>138</v>
      </c>
      <c r="I44" s="41" t="s">
        <v>138</v>
      </c>
      <c r="J44" s="13"/>
      <c r="L44" s="2"/>
    </row>
    <row r="45" spans="1:12" ht="18.75" x14ac:dyDescent="0.3">
      <c r="A45" s="6" t="s">
        <v>56</v>
      </c>
      <c r="B45" s="8"/>
      <c r="C45" s="4"/>
      <c r="D45" s="4" t="s">
        <v>45</v>
      </c>
      <c r="E45" s="41" t="s">
        <v>138</v>
      </c>
      <c r="F45" s="41" t="s">
        <v>138</v>
      </c>
      <c r="G45" s="14" t="s">
        <v>51</v>
      </c>
      <c r="H45" s="41" t="s">
        <v>138</v>
      </c>
      <c r="I45" s="41" t="s">
        <v>138</v>
      </c>
      <c r="J45" s="13"/>
      <c r="L45" s="2"/>
    </row>
    <row r="46" spans="1:12" ht="24" customHeight="1" x14ac:dyDescent="0.3">
      <c r="A46" s="6" t="s">
        <v>57</v>
      </c>
      <c r="B46" s="8"/>
      <c r="C46" s="4"/>
      <c r="D46" s="4" t="s">
        <v>46</v>
      </c>
      <c r="E46" s="41" t="s">
        <v>138</v>
      </c>
      <c r="F46" s="41" t="s">
        <v>138</v>
      </c>
      <c r="G46" s="14" t="s">
        <v>51</v>
      </c>
      <c r="H46" s="41" t="s">
        <v>138</v>
      </c>
      <c r="I46" s="41" t="s">
        <v>138</v>
      </c>
      <c r="J46" s="13"/>
      <c r="L46" s="2"/>
    </row>
    <row r="47" spans="1:12" ht="18.75" x14ac:dyDescent="0.3">
      <c r="A47" s="6" t="s">
        <v>62</v>
      </c>
      <c r="B47" s="5"/>
      <c r="C47" s="4"/>
      <c r="D47" s="4" t="s">
        <v>90</v>
      </c>
      <c r="E47" s="41" t="s">
        <v>138</v>
      </c>
      <c r="F47" s="41" t="s">
        <v>138</v>
      </c>
      <c r="G47" s="14" t="s">
        <v>52</v>
      </c>
      <c r="H47" s="41" t="s">
        <v>138</v>
      </c>
      <c r="I47" s="41" t="s">
        <v>138</v>
      </c>
      <c r="J47" s="13"/>
      <c r="L47" s="2"/>
    </row>
    <row r="48" spans="1:12" ht="18.75" x14ac:dyDescent="0.3">
      <c r="A48" s="28"/>
      <c r="B48" s="22"/>
      <c r="C48" s="22"/>
      <c r="D48" s="22"/>
      <c r="E48" s="46"/>
      <c r="F48" s="46"/>
      <c r="G48" s="12"/>
      <c r="H48" s="41"/>
      <c r="I48" s="41">
        <f>SUM(I40:I47)</f>
        <v>1438</v>
      </c>
      <c r="J48" s="13"/>
      <c r="L48" s="2"/>
    </row>
    <row r="49" spans="1:12" ht="18.75" x14ac:dyDescent="0.3">
      <c r="A49" s="71" t="s">
        <v>64</v>
      </c>
      <c r="B49" s="72"/>
      <c r="C49" s="72"/>
      <c r="D49" s="72"/>
      <c r="E49" s="72"/>
      <c r="F49" s="72"/>
      <c r="G49" s="73"/>
      <c r="H49" s="18"/>
      <c r="I49" s="5"/>
      <c r="J49" s="13"/>
      <c r="L49" s="2"/>
    </row>
    <row r="50" spans="1:12" ht="37.5" x14ac:dyDescent="0.25">
      <c r="A50" s="9" t="s">
        <v>28</v>
      </c>
      <c r="B50" s="8"/>
      <c r="C50" s="4"/>
      <c r="D50" s="15" t="s">
        <v>142</v>
      </c>
      <c r="E50" s="41"/>
      <c r="F50" s="41"/>
      <c r="G50" s="13" t="s">
        <v>52</v>
      </c>
      <c r="H50" s="41"/>
      <c r="I50" s="41"/>
      <c r="J50" s="13"/>
      <c r="L50" s="2"/>
    </row>
    <row r="51" spans="1:12" ht="31.5" x14ac:dyDescent="0.25">
      <c r="A51" s="9"/>
      <c r="B51" s="8"/>
      <c r="C51" s="4"/>
      <c r="D51" s="15" t="s">
        <v>221</v>
      </c>
      <c r="E51" s="41"/>
      <c r="F51" s="41">
        <f>2+4</f>
        <v>6</v>
      </c>
      <c r="G51" s="13" t="s">
        <v>30</v>
      </c>
      <c r="H51" s="45">
        <f>(317.4+635)/F51</f>
        <v>158.73333333333332</v>
      </c>
      <c r="I51" s="41">
        <f>F51*H51</f>
        <v>952.39999999999986</v>
      </c>
      <c r="J51" s="13" t="s">
        <v>119</v>
      </c>
      <c r="L51" s="2"/>
    </row>
    <row r="52" spans="1:12" ht="46.5" customHeight="1" x14ac:dyDescent="0.25">
      <c r="A52" s="9" t="s">
        <v>89</v>
      </c>
      <c r="B52" s="8"/>
      <c r="C52" s="4"/>
      <c r="D52" s="42" t="s">
        <v>123</v>
      </c>
      <c r="E52" s="32"/>
      <c r="F52" s="13">
        <f>978.3</f>
        <v>978.3</v>
      </c>
      <c r="G52" s="13" t="s">
        <v>111</v>
      </c>
      <c r="H52" s="33">
        <f>(4118.2+4118.2+4118.2+4212.2+4212.2+4324.6+4212.2+4324.6+4324.6+4459.4+4459.4+4459.4)/F52</f>
        <v>52.482060717571301</v>
      </c>
      <c r="I52" s="33">
        <f t="shared" ref="I52:I54" si="0">F52*H52</f>
        <v>51343.200000000004</v>
      </c>
      <c r="J52" s="13" t="s">
        <v>114</v>
      </c>
      <c r="L52" s="2"/>
    </row>
    <row r="53" spans="1:12" ht="46.5" customHeight="1" x14ac:dyDescent="0.25">
      <c r="A53" s="9"/>
      <c r="B53" s="8"/>
      <c r="C53" s="4"/>
      <c r="D53" s="15" t="s">
        <v>109</v>
      </c>
      <c r="E53" s="32"/>
      <c r="F53" s="13">
        <f>1991</f>
        <v>1991</v>
      </c>
      <c r="G53" s="13" t="s">
        <v>29</v>
      </c>
      <c r="H53" s="33">
        <f>166316.6/F53</f>
        <v>83.534203917629341</v>
      </c>
      <c r="I53" s="33">
        <f t="shared" si="0"/>
        <v>166316.6</v>
      </c>
      <c r="J53" s="13" t="s">
        <v>116</v>
      </c>
      <c r="L53" s="2"/>
    </row>
    <row r="54" spans="1:12" ht="46.5" customHeight="1" x14ac:dyDescent="0.25">
      <c r="A54" s="9"/>
      <c r="B54" s="8"/>
      <c r="C54" s="4"/>
      <c r="D54" s="15" t="s">
        <v>110</v>
      </c>
      <c r="E54" s="41"/>
      <c r="F54" s="41">
        <f>128</f>
        <v>128</v>
      </c>
      <c r="G54" s="13" t="s">
        <v>29</v>
      </c>
      <c r="H54" s="45">
        <f>10815/F54</f>
        <v>84.4921875</v>
      </c>
      <c r="I54" s="41">
        <f t="shared" si="0"/>
        <v>10815</v>
      </c>
      <c r="J54" s="13" t="s">
        <v>116</v>
      </c>
      <c r="L54" s="2"/>
    </row>
    <row r="55" spans="1:12" ht="46.5" customHeight="1" x14ac:dyDescent="0.25">
      <c r="A55" s="9"/>
      <c r="B55" s="8"/>
      <c r="C55" s="4"/>
      <c r="D55" s="15" t="s">
        <v>158</v>
      </c>
      <c r="E55" s="41" t="s">
        <v>138</v>
      </c>
      <c r="F55" s="41" t="s">
        <v>138</v>
      </c>
      <c r="G55" s="13" t="s">
        <v>30</v>
      </c>
      <c r="H55" s="41" t="s">
        <v>138</v>
      </c>
      <c r="I55" s="41" t="s">
        <v>138</v>
      </c>
      <c r="J55" s="13"/>
      <c r="L55" s="2"/>
    </row>
    <row r="56" spans="1:12" ht="46.5" customHeight="1" x14ac:dyDescent="0.25">
      <c r="A56" s="9"/>
      <c r="B56" s="8"/>
      <c r="C56" s="4"/>
      <c r="D56" s="15" t="s">
        <v>182</v>
      </c>
      <c r="E56" s="41" t="s">
        <v>138</v>
      </c>
      <c r="F56" s="41" t="s">
        <v>138</v>
      </c>
      <c r="G56" s="13" t="s">
        <v>30</v>
      </c>
      <c r="H56" s="41" t="s">
        <v>138</v>
      </c>
      <c r="I56" s="41" t="s">
        <v>138</v>
      </c>
      <c r="J56" s="13"/>
      <c r="L56" s="2"/>
    </row>
    <row r="57" spans="1:12" ht="46.5" customHeight="1" x14ac:dyDescent="0.25">
      <c r="A57" s="9"/>
      <c r="B57" s="8"/>
      <c r="C57" s="4"/>
      <c r="D57" s="15" t="s">
        <v>183</v>
      </c>
      <c r="E57" s="41" t="s">
        <v>138</v>
      </c>
      <c r="F57" s="41" t="s">
        <v>138</v>
      </c>
      <c r="G57" s="13" t="s">
        <v>30</v>
      </c>
      <c r="H57" s="41" t="s">
        <v>138</v>
      </c>
      <c r="I57" s="41" t="s">
        <v>138</v>
      </c>
      <c r="J57" s="13"/>
      <c r="L57" s="2"/>
    </row>
    <row r="58" spans="1:12" ht="46.5" customHeight="1" x14ac:dyDescent="0.25">
      <c r="A58" s="9"/>
      <c r="B58" s="8"/>
      <c r="C58" s="4"/>
      <c r="D58" s="15" t="s">
        <v>157</v>
      </c>
      <c r="E58" s="41" t="s">
        <v>138</v>
      </c>
      <c r="F58" s="41" t="s">
        <v>138</v>
      </c>
      <c r="G58" s="13" t="s">
        <v>30</v>
      </c>
      <c r="H58" s="41" t="s">
        <v>138</v>
      </c>
      <c r="I58" s="41" t="s">
        <v>138</v>
      </c>
      <c r="J58" s="13"/>
      <c r="L58" s="2"/>
    </row>
    <row r="59" spans="1:12" ht="46.5" customHeight="1" x14ac:dyDescent="0.25">
      <c r="A59" s="9"/>
      <c r="B59" s="8"/>
      <c r="C59" s="4"/>
      <c r="D59" s="15" t="s">
        <v>184</v>
      </c>
      <c r="E59" s="41" t="s">
        <v>138</v>
      </c>
      <c r="F59" s="41" t="s">
        <v>138</v>
      </c>
      <c r="G59" s="13" t="s">
        <v>30</v>
      </c>
      <c r="H59" s="41" t="s">
        <v>138</v>
      </c>
      <c r="I59" s="41" t="s">
        <v>138</v>
      </c>
      <c r="J59" s="13"/>
      <c r="L59" s="2"/>
    </row>
    <row r="60" spans="1:12" ht="46.5" customHeight="1" x14ac:dyDescent="0.25">
      <c r="A60" s="9"/>
      <c r="B60" s="8"/>
      <c r="C60" s="4"/>
      <c r="D60" s="15" t="s">
        <v>185</v>
      </c>
      <c r="E60" s="41"/>
      <c r="F60" s="41">
        <f>2+2</f>
        <v>4</v>
      </c>
      <c r="G60" s="13" t="s">
        <v>30</v>
      </c>
      <c r="H60" s="41">
        <f>(2913.8+2992.6)/F60</f>
        <v>1476.6</v>
      </c>
      <c r="I60" s="41">
        <f t="shared" ref="I60" si="1">F60*H60</f>
        <v>5906.4</v>
      </c>
      <c r="J60" s="13" t="s">
        <v>116</v>
      </c>
      <c r="L60" s="2"/>
    </row>
    <row r="61" spans="1:12" ht="46.5" customHeight="1" x14ac:dyDescent="0.25">
      <c r="A61" s="9"/>
      <c r="B61" s="8"/>
      <c r="C61" s="4"/>
      <c r="D61" s="15" t="s">
        <v>159</v>
      </c>
      <c r="E61" s="41" t="s">
        <v>138</v>
      </c>
      <c r="F61" s="41" t="s">
        <v>138</v>
      </c>
      <c r="G61" s="13" t="s">
        <v>30</v>
      </c>
      <c r="H61" s="41" t="s">
        <v>138</v>
      </c>
      <c r="I61" s="41" t="s">
        <v>138</v>
      </c>
      <c r="J61" s="13"/>
      <c r="L61" s="2"/>
    </row>
    <row r="62" spans="1:12" ht="46.5" customHeight="1" x14ac:dyDescent="0.25">
      <c r="A62" s="9"/>
      <c r="B62" s="8"/>
      <c r="C62" s="4"/>
      <c r="D62" s="15" t="s">
        <v>192</v>
      </c>
      <c r="E62" s="41" t="s">
        <v>138</v>
      </c>
      <c r="F62" s="41" t="s">
        <v>138</v>
      </c>
      <c r="G62" s="13" t="s">
        <v>29</v>
      </c>
      <c r="H62" s="41" t="s">
        <v>138</v>
      </c>
      <c r="I62" s="41" t="s">
        <v>138</v>
      </c>
      <c r="J62" s="13"/>
      <c r="L62" s="2"/>
    </row>
    <row r="63" spans="1:12" ht="46.5" customHeight="1" x14ac:dyDescent="0.25">
      <c r="A63" s="9"/>
      <c r="B63" s="8"/>
      <c r="C63" s="4"/>
      <c r="D63" s="15" t="s">
        <v>193</v>
      </c>
      <c r="E63" s="41" t="s">
        <v>138</v>
      </c>
      <c r="F63" s="41" t="s">
        <v>138</v>
      </c>
      <c r="G63" s="13" t="s">
        <v>29</v>
      </c>
      <c r="H63" s="41" t="s">
        <v>138</v>
      </c>
      <c r="I63" s="41" t="s">
        <v>138</v>
      </c>
      <c r="J63" s="13"/>
      <c r="L63" s="2"/>
    </row>
    <row r="64" spans="1:12" ht="46.5" customHeight="1" x14ac:dyDescent="0.25">
      <c r="A64" s="9"/>
      <c r="B64" s="8"/>
      <c r="C64" s="4"/>
      <c r="D64" s="15" t="s">
        <v>169</v>
      </c>
      <c r="E64" s="41" t="s">
        <v>138</v>
      </c>
      <c r="F64" s="41" t="s">
        <v>138</v>
      </c>
      <c r="G64" s="13" t="s">
        <v>154</v>
      </c>
      <c r="H64" s="41" t="s">
        <v>138</v>
      </c>
      <c r="I64" s="41" t="s">
        <v>138</v>
      </c>
      <c r="J64" s="13"/>
      <c r="L64" s="2"/>
    </row>
    <row r="65" spans="1:12" ht="46.5" customHeight="1" x14ac:dyDescent="0.25">
      <c r="A65" s="9"/>
      <c r="B65" s="8"/>
      <c r="C65" s="4"/>
      <c r="D65" s="15" t="s">
        <v>168</v>
      </c>
      <c r="E65" s="41" t="s">
        <v>138</v>
      </c>
      <c r="F65" s="41" t="s">
        <v>138</v>
      </c>
      <c r="G65" s="13" t="s">
        <v>154</v>
      </c>
      <c r="H65" s="41" t="s">
        <v>138</v>
      </c>
      <c r="I65" s="41" t="s">
        <v>138</v>
      </c>
      <c r="J65" s="13"/>
      <c r="L65" s="2"/>
    </row>
    <row r="66" spans="1:12" ht="46.5" customHeight="1" x14ac:dyDescent="0.25">
      <c r="A66" s="9"/>
      <c r="B66" s="8"/>
      <c r="C66" s="4"/>
      <c r="D66" s="15" t="s">
        <v>141</v>
      </c>
      <c r="E66" s="41" t="s">
        <v>138</v>
      </c>
      <c r="F66" s="41" t="s">
        <v>138</v>
      </c>
      <c r="G66" s="13" t="s">
        <v>30</v>
      </c>
      <c r="H66" s="41" t="s">
        <v>138</v>
      </c>
      <c r="I66" s="41" t="s">
        <v>138</v>
      </c>
      <c r="J66" s="13"/>
      <c r="L66" s="2"/>
    </row>
    <row r="67" spans="1:12" ht="31.5" x14ac:dyDescent="0.25">
      <c r="A67" s="9" t="s">
        <v>80</v>
      </c>
      <c r="B67" s="8"/>
      <c r="C67" s="4"/>
      <c r="D67" s="15" t="s">
        <v>162</v>
      </c>
      <c r="E67" s="41" t="s">
        <v>138</v>
      </c>
      <c r="F67" s="41" t="s">
        <v>138</v>
      </c>
      <c r="G67" s="13" t="s">
        <v>52</v>
      </c>
      <c r="H67" s="41" t="s">
        <v>138</v>
      </c>
      <c r="I67" s="41" t="s">
        <v>138</v>
      </c>
      <c r="J67" s="13"/>
      <c r="L67" s="2"/>
    </row>
    <row r="68" spans="1:12" ht="31.5" x14ac:dyDescent="0.25">
      <c r="A68" s="9"/>
      <c r="B68" s="8"/>
      <c r="C68" s="4"/>
      <c r="D68" s="15" t="s">
        <v>163</v>
      </c>
      <c r="E68" s="41" t="s">
        <v>138</v>
      </c>
      <c r="F68" s="41" t="s">
        <v>138</v>
      </c>
      <c r="G68" s="13" t="s">
        <v>52</v>
      </c>
      <c r="H68" s="41" t="s">
        <v>138</v>
      </c>
      <c r="I68" s="41" t="s">
        <v>138</v>
      </c>
      <c r="J68" s="13"/>
      <c r="L68" s="2"/>
    </row>
    <row r="69" spans="1:12" ht="18.75" x14ac:dyDescent="0.25">
      <c r="A69" s="9"/>
      <c r="B69" s="8"/>
      <c r="C69" s="4"/>
      <c r="D69" s="15" t="s">
        <v>189</v>
      </c>
      <c r="E69" s="41"/>
      <c r="F69" s="41"/>
      <c r="G69" s="13" t="s">
        <v>30</v>
      </c>
      <c r="H69" s="41"/>
      <c r="I69" s="41"/>
      <c r="J69" s="13"/>
      <c r="L69" s="2"/>
    </row>
    <row r="70" spans="1:12" ht="18.75" x14ac:dyDescent="0.25">
      <c r="A70" s="9"/>
      <c r="B70" s="8"/>
      <c r="C70" s="4"/>
      <c r="D70" s="15" t="s">
        <v>131</v>
      </c>
      <c r="E70" s="41" t="s">
        <v>138</v>
      </c>
      <c r="F70" s="41">
        <f>6</f>
        <v>6</v>
      </c>
      <c r="G70" s="13" t="s">
        <v>30</v>
      </c>
      <c r="H70" s="41">
        <f>7045.2/F70</f>
        <v>1174.2</v>
      </c>
      <c r="I70" s="57">
        <f>F70*H70</f>
        <v>7045.2000000000007</v>
      </c>
      <c r="J70" s="13" t="s">
        <v>120</v>
      </c>
      <c r="L70" s="2"/>
    </row>
    <row r="71" spans="1:12" ht="18.75" x14ac:dyDescent="0.25">
      <c r="A71" s="9"/>
      <c r="B71" s="8"/>
      <c r="C71" s="4"/>
      <c r="D71" s="15" t="s">
        <v>152</v>
      </c>
      <c r="E71" s="41" t="s">
        <v>138</v>
      </c>
      <c r="F71" s="41" t="s">
        <v>138</v>
      </c>
      <c r="G71" s="13" t="s">
        <v>30</v>
      </c>
      <c r="H71" s="41" t="s">
        <v>138</v>
      </c>
      <c r="I71" s="41" t="s">
        <v>138</v>
      </c>
      <c r="J71" s="13"/>
      <c r="L71" s="2"/>
    </row>
    <row r="72" spans="1:12" ht="31.5" x14ac:dyDescent="0.25">
      <c r="A72" s="9"/>
      <c r="B72" s="8"/>
      <c r="C72" s="4"/>
      <c r="D72" s="15" t="s">
        <v>171</v>
      </c>
      <c r="E72" s="41" t="s">
        <v>138</v>
      </c>
      <c r="F72" s="41" t="s">
        <v>138</v>
      </c>
      <c r="G72" s="13" t="s">
        <v>172</v>
      </c>
      <c r="H72" s="41" t="s">
        <v>138</v>
      </c>
      <c r="I72" s="41" t="s">
        <v>138</v>
      </c>
      <c r="J72" s="13"/>
      <c r="L72" s="2"/>
    </row>
    <row r="73" spans="1:12" ht="31.5" x14ac:dyDescent="0.25">
      <c r="A73" s="9"/>
      <c r="B73" s="8"/>
      <c r="C73" s="4"/>
      <c r="D73" s="15" t="s">
        <v>170</v>
      </c>
      <c r="E73" s="41" t="s">
        <v>138</v>
      </c>
      <c r="F73" s="41" t="s">
        <v>138</v>
      </c>
      <c r="G73" s="13" t="s">
        <v>30</v>
      </c>
      <c r="H73" s="41" t="s">
        <v>138</v>
      </c>
      <c r="I73" s="41" t="s">
        <v>138</v>
      </c>
      <c r="J73" s="13"/>
      <c r="L73" s="2"/>
    </row>
    <row r="74" spans="1:12" ht="18.75" x14ac:dyDescent="0.25">
      <c r="A74" s="9"/>
      <c r="B74" s="8"/>
      <c r="C74" s="4"/>
      <c r="D74" s="15" t="s">
        <v>164</v>
      </c>
      <c r="E74" s="41" t="s">
        <v>138</v>
      </c>
      <c r="F74" s="41" t="s">
        <v>138</v>
      </c>
      <c r="G74" s="13" t="s">
        <v>165</v>
      </c>
      <c r="H74" s="41" t="s">
        <v>138</v>
      </c>
      <c r="I74" s="41" t="s">
        <v>138</v>
      </c>
      <c r="J74" s="13"/>
      <c r="L74" s="2"/>
    </row>
    <row r="75" spans="1:12" ht="18.75" x14ac:dyDescent="0.25">
      <c r="A75" s="9" t="s">
        <v>19</v>
      </c>
      <c r="B75" s="8"/>
      <c r="C75" s="4"/>
      <c r="D75" s="15" t="s">
        <v>65</v>
      </c>
      <c r="E75" s="41" t="s">
        <v>138</v>
      </c>
      <c r="F75" s="41" t="s">
        <v>138</v>
      </c>
      <c r="G75" s="13" t="s">
        <v>29</v>
      </c>
      <c r="H75" s="41" t="s">
        <v>138</v>
      </c>
      <c r="I75" s="41" t="s">
        <v>138</v>
      </c>
      <c r="J75" s="13"/>
      <c r="L75" s="2"/>
    </row>
    <row r="76" spans="1:12" ht="31.5" x14ac:dyDescent="0.25">
      <c r="A76" s="9" t="s">
        <v>20</v>
      </c>
      <c r="B76" s="8"/>
      <c r="C76" s="4"/>
      <c r="D76" s="15" t="s">
        <v>67</v>
      </c>
      <c r="E76" s="41" t="s">
        <v>138</v>
      </c>
      <c r="F76" s="41" t="s">
        <v>138</v>
      </c>
      <c r="G76" s="13" t="s">
        <v>52</v>
      </c>
      <c r="H76" s="41" t="s">
        <v>138</v>
      </c>
      <c r="I76" s="41" t="s">
        <v>138</v>
      </c>
      <c r="J76" s="13"/>
      <c r="L76" s="2"/>
    </row>
    <row r="77" spans="1:12" ht="18.75" x14ac:dyDescent="0.25">
      <c r="A77" s="47"/>
      <c r="B77" s="48"/>
      <c r="C77" s="22"/>
      <c r="D77" s="30"/>
      <c r="E77" s="46"/>
      <c r="F77" s="46"/>
      <c r="G77" s="31"/>
      <c r="H77" s="41"/>
      <c r="I77" s="45">
        <f>SUM(I50:I76)</f>
        <v>242378.80000000002</v>
      </c>
      <c r="J77" s="13"/>
      <c r="L77" s="2"/>
    </row>
    <row r="78" spans="1:12" ht="18.75" x14ac:dyDescent="0.3">
      <c r="A78" s="67" t="s">
        <v>68</v>
      </c>
      <c r="B78" s="68"/>
      <c r="C78" s="68"/>
      <c r="D78" s="68"/>
      <c r="E78" s="68"/>
      <c r="F78" s="68"/>
      <c r="G78" s="69"/>
      <c r="H78" s="19"/>
      <c r="I78" s="5"/>
      <c r="J78" s="13"/>
      <c r="L78" s="2"/>
    </row>
    <row r="79" spans="1:12" ht="37.5" x14ac:dyDescent="0.25">
      <c r="A79" s="9" t="s">
        <v>89</v>
      </c>
      <c r="B79" s="8"/>
      <c r="C79" s="4"/>
      <c r="D79" s="4" t="s">
        <v>126</v>
      </c>
      <c r="E79" s="31"/>
      <c r="F79" s="13">
        <f>2+3+1+2+1+2+2+4+2+2+3</f>
        <v>24</v>
      </c>
      <c r="G79" s="13" t="s">
        <v>113</v>
      </c>
      <c r="H79" s="33">
        <f>(1263+1895.8+632+1291.6+645.2+1325.2+2653.4+1367+1367+2052.2)/F79/3</f>
        <v>201.2833333333333</v>
      </c>
      <c r="I79" s="33">
        <f>F79*H79</f>
        <v>4830.7999999999993</v>
      </c>
      <c r="J79" s="13" t="s">
        <v>114</v>
      </c>
      <c r="L79" s="2"/>
    </row>
    <row r="80" spans="1:12" ht="18.75" x14ac:dyDescent="0.25">
      <c r="A80" s="9"/>
      <c r="B80" s="8"/>
      <c r="C80" s="4"/>
      <c r="D80" s="15" t="s">
        <v>152</v>
      </c>
      <c r="E80" s="41" t="s">
        <v>138</v>
      </c>
      <c r="F80" s="41" t="s">
        <v>138</v>
      </c>
      <c r="G80" s="13" t="s">
        <v>30</v>
      </c>
      <c r="H80" s="41" t="s">
        <v>138</v>
      </c>
      <c r="I80" s="41" t="s">
        <v>138</v>
      </c>
      <c r="J80" s="13"/>
      <c r="L80" s="2"/>
    </row>
    <row r="81" spans="1:12" ht="31.5" x14ac:dyDescent="0.25">
      <c r="A81" s="9"/>
      <c r="B81" s="8"/>
      <c r="C81" s="4"/>
      <c r="D81" s="15" t="s">
        <v>169</v>
      </c>
      <c r="E81" s="41" t="s">
        <v>138</v>
      </c>
      <c r="F81" s="41" t="s">
        <v>138</v>
      </c>
      <c r="G81" s="13" t="s">
        <v>154</v>
      </c>
      <c r="H81" s="41" t="s">
        <v>138</v>
      </c>
      <c r="I81" s="41" t="s">
        <v>138</v>
      </c>
      <c r="J81" s="13"/>
      <c r="L81" s="2"/>
    </row>
    <row r="82" spans="1:12" ht="31.5" x14ac:dyDescent="0.25">
      <c r="A82" s="9"/>
      <c r="B82" s="8"/>
      <c r="C82" s="4"/>
      <c r="D82" s="15" t="s">
        <v>195</v>
      </c>
      <c r="E82" s="41" t="s">
        <v>138</v>
      </c>
      <c r="F82" s="41" t="s">
        <v>138</v>
      </c>
      <c r="G82" s="13" t="s">
        <v>29</v>
      </c>
      <c r="H82" s="41" t="s">
        <v>138</v>
      </c>
      <c r="I82" s="41" t="s">
        <v>138</v>
      </c>
      <c r="J82" s="13"/>
      <c r="L82" s="2"/>
    </row>
    <row r="83" spans="1:12" ht="78.75" x14ac:dyDescent="0.25">
      <c r="A83" s="9"/>
      <c r="B83" s="8"/>
      <c r="C83" s="4"/>
      <c r="D83" s="15" t="s">
        <v>196</v>
      </c>
      <c r="E83" s="41" t="s">
        <v>138</v>
      </c>
      <c r="F83" s="41" t="s">
        <v>138</v>
      </c>
      <c r="G83" s="13" t="s">
        <v>172</v>
      </c>
      <c r="H83" s="41" t="s">
        <v>138</v>
      </c>
      <c r="I83" s="41" t="s">
        <v>138</v>
      </c>
      <c r="J83" s="13"/>
      <c r="L83" s="2"/>
    </row>
    <row r="84" spans="1:12" ht="47.25" x14ac:dyDescent="0.25">
      <c r="A84" s="9"/>
      <c r="B84" s="8"/>
      <c r="C84" s="4"/>
      <c r="D84" s="15" t="s">
        <v>197</v>
      </c>
      <c r="E84" s="41" t="s">
        <v>138</v>
      </c>
      <c r="F84" s="41" t="s">
        <v>138</v>
      </c>
      <c r="G84" s="13" t="s">
        <v>29</v>
      </c>
      <c r="H84" s="41" t="s">
        <v>138</v>
      </c>
      <c r="I84" s="41" t="s">
        <v>138</v>
      </c>
      <c r="J84" s="13"/>
      <c r="L84" s="2"/>
    </row>
    <row r="85" spans="1:12" ht="31.5" x14ac:dyDescent="0.25">
      <c r="A85" s="9"/>
      <c r="B85" s="8"/>
      <c r="C85" s="4"/>
      <c r="D85" s="15" t="s">
        <v>194</v>
      </c>
      <c r="E85" s="41" t="s">
        <v>138</v>
      </c>
      <c r="F85" s="41" t="s">
        <v>138</v>
      </c>
      <c r="G85" s="13" t="s">
        <v>154</v>
      </c>
      <c r="H85" s="41" t="s">
        <v>138</v>
      </c>
      <c r="I85" s="41" t="s">
        <v>138</v>
      </c>
      <c r="J85" s="13"/>
      <c r="L85" s="2"/>
    </row>
    <row r="86" spans="1:12" ht="31.5" x14ac:dyDescent="0.25">
      <c r="A86" s="9"/>
      <c r="B86" s="8"/>
      <c r="C86" s="4"/>
      <c r="D86" s="15" t="s">
        <v>191</v>
      </c>
      <c r="E86" s="41" t="s">
        <v>138</v>
      </c>
      <c r="F86" s="41" t="s">
        <v>138</v>
      </c>
      <c r="G86" s="13" t="s">
        <v>29</v>
      </c>
      <c r="H86" s="41" t="s">
        <v>138</v>
      </c>
      <c r="I86" s="41" t="s">
        <v>138</v>
      </c>
      <c r="J86" s="13"/>
      <c r="L86" s="2"/>
    </row>
    <row r="87" spans="1:12" ht="18.75" x14ac:dyDescent="0.25">
      <c r="A87" s="9" t="s">
        <v>80</v>
      </c>
      <c r="B87" s="8"/>
      <c r="C87" s="4"/>
      <c r="D87" s="15" t="s">
        <v>66</v>
      </c>
      <c r="E87" s="41" t="s">
        <v>138</v>
      </c>
      <c r="F87" s="41" t="s">
        <v>138</v>
      </c>
      <c r="G87" s="13" t="s">
        <v>52</v>
      </c>
      <c r="H87" s="41" t="s">
        <v>138</v>
      </c>
      <c r="I87" s="41" t="s">
        <v>138</v>
      </c>
      <c r="J87" s="13"/>
      <c r="L87" s="2"/>
    </row>
    <row r="88" spans="1:12" ht="18.75" x14ac:dyDescent="0.25">
      <c r="A88" s="9"/>
      <c r="B88" s="8"/>
      <c r="C88" s="4"/>
      <c r="D88" s="15" t="s">
        <v>185</v>
      </c>
      <c r="E88" s="41"/>
      <c r="F88" s="41">
        <f>2</f>
        <v>2</v>
      </c>
      <c r="G88" s="13" t="s">
        <v>30</v>
      </c>
      <c r="H88" s="41">
        <f>2992.6/F88</f>
        <v>1496.3</v>
      </c>
      <c r="I88" s="41">
        <f>F88*H88</f>
        <v>2992.6</v>
      </c>
      <c r="J88" s="13" t="s">
        <v>116</v>
      </c>
      <c r="L88" s="2"/>
    </row>
    <row r="89" spans="1:12" ht="18.75" x14ac:dyDescent="0.25">
      <c r="A89" s="9"/>
      <c r="B89" s="8"/>
      <c r="C89" s="4"/>
      <c r="D89" s="15" t="s">
        <v>190</v>
      </c>
      <c r="E89" s="41" t="s">
        <v>138</v>
      </c>
      <c r="F89" s="41" t="s">
        <v>138</v>
      </c>
      <c r="G89" s="13" t="s">
        <v>30</v>
      </c>
      <c r="H89" s="41" t="s">
        <v>138</v>
      </c>
      <c r="I89" s="41" t="s">
        <v>138</v>
      </c>
      <c r="J89" s="13"/>
      <c r="L89" s="2"/>
    </row>
    <row r="90" spans="1:12" ht="31.5" x14ac:dyDescent="0.25">
      <c r="A90" s="9" t="s">
        <v>20</v>
      </c>
      <c r="B90" s="8"/>
      <c r="C90" s="4"/>
      <c r="D90" s="15" t="s">
        <v>67</v>
      </c>
      <c r="E90" s="41" t="s">
        <v>138</v>
      </c>
      <c r="F90" s="41" t="s">
        <v>138</v>
      </c>
      <c r="G90" s="13" t="s">
        <v>143</v>
      </c>
      <c r="H90" s="41" t="s">
        <v>138</v>
      </c>
      <c r="I90" s="41" t="s">
        <v>138</v>
      </c>
      <c r="J90" s="13"/>
      <c r="L90" s="2"/>
    </row>
    <row r="91" spans="1:12" ht="18.75" x14ac:dyDescent="0.25">
      <c r="A91" s="47"/>
      <c r="B91" s="48"/>
      <c r="C91" s="22"/>
      <c r="D91" s="30"/>
      <c r="E91" s="46"/>
      <c r="F91" s="46"/>
      <c r="G91" s="31"/>
      <c r="H91" s="41"/>
      <c r="I91" s="45">
        <f>SUM(I79:I90)</f>
        <v>7823.4</v>
      </c>
      <c r="J91" s="13"/>
      <c r="L91" s="2"/>
    </row>
    <row r="92" spans="1:12" ht="18.75" x14ac:dyDescent="0.3">
      <c r="A92" s="67" t="s">
        <v>69</v>
      </c>
      <c r="B92" s="68"/>
      <c r="C92" s="68"/>
      <c r="D92" s="68"/>
      <c r="E92" s="68"/>
      <c r="F92" s="68"/>
      <c r="G92" s="69"/>
      <c r="H92" s="13"/>
      <c r="I92" s="5"/>
      <c r="J92" s="13"/>
      <c r="L92" s="2"/>
    </row>
    <row r="93" spans="1:12" ht="37.5" x14ac:dyDescent="0.25">
      <c r="A93" s="9" t="s">
        <v>89</v>
      </c>
      <c r="B93" s="8"/>
      <c r="C93" s="4"/>
      <c r="D93" s="15" t="s">
        <v>127</v>
      </c>
      <c r="E93" s="31"/>
      <c r="F93" s="13">
        <f>2+3+1+2+1+2+2+4+2+2+3</f>
        <v>24</v>
      </c>
      <c r="G93" s="13" t="s">
        <v>113</v>
      </c>
      <c r="H93" s="33">
        <f>(1263+1895.8+632+1291.6+645.2+1325.2+2653.4+1367+1367+2052.2)/F93/3</f>
        <v>201.2833333333333</v>
      </c>
      <c r="I93" s="33">
        <f>F93*H93</f>
        <v>4830.7999999999993</v>
      </c>
      <c r="J93" s="13" t="s">
        <v>114</v>
      </c>
      <c r="L93" s="2"/>
    </row>
    <row r="94" spans="1:12" ht="31.5" x14ac:dyDescent="0.25">
      <c r="A94" s="9"/>
      <c r="B94" s="8"/>
      <c r="C94" s="4"/>
      <c r="D94" s="15" t="s">
        <v>173</v>
      </c>
      <c r="E94" s="41" t="s">
        <v>138</v>
      </c>
      <c r="F94" s="41" t="s">
        <v>138</v>
      </c>
      <c r="G94" s="13" t="s">
        <v>29</v>
      </c>
      <c r="H94" s="41" t="s">
        <v>138</v>
      </c>
      <c r="I94" s="41" t="s">
        <v>138</v>
      </c>
      <c r="J94" s="13"/>
      <c r="L94" s="2"/>
    </row>
    <row r="95" spans="1:12" ht="78.75" x14ac:dyDescent="0.25">
      <c r="A95" s="9"/>
      <c r="B95" s="8"/>
      <c r="C95" s="4"/>
      <c r="D95" s="15" t="s">
        <v>174</v>
      </c>
      <c r="E95" s="41" t="s">
        <v>138</v>
      </c>
      <c r="F95" s="41" t="s">
        <v>138</v>
      </c>
      <c r="G95" s="13" t="s">
        <v>172</v>
      </c>
      <c r="H95" s="41" t="s">
        <v>138</v>
      </c>
      <c r="I95" s="41" t="s">
        <v>138</v>
      </c>
      <c r="J95" s="13"/>
      <c r="L95" s="2"/>
    </row>
    <row r="96" spans="1:12" ht="47.25" x14ac:dyDescent="0.25">
      <c r="A96" s="9"/>
      <c r="B96" s="8"/>
      <c r="C96" s="4"/>
      <c r="D96" s="15" t="s">
        <v>153</v>
      </c>
      <c r="E96" s="41" t="s">
        <v>138</v>
      </c>
      <c r="F96" s="41" t="s">
        <v>138</v>
      </c>
      <c r="G96" s="13" t="s">
        <v>29</v>
      </c>
      <c r="H96" s="41" t="s">
        <v>138</v>
      </c>
      <c r="I96" s="41" t="s">
        <v>138</v>
      </c>
      <c r="J96" s="13"/>
      <c r="L96" s="2"/>
    </row>
    <row r="97" spans="1:12" ht="78.75" x14ac:dyDescent="0.25">
      <c r="A97" s="9"/>
      <c r="B97" s="8"/>
      <c r="C97" s="4"/>
      <c r="D97" s="15" t="s">
        <v>175</v>
      </c>
      <c r="E97" s="41" t="s">
        <v>138</v>
      </c>
      <c r="F97" s="41" t="s">
        <v>138</v>
      </c>
      <c r="G97" s="13" t="s">
        <v>172</v>
      </c>
      <c r="H97" s="41" t="s">
        <v>138</v>
      </c>
      <c r="I97" s="41" t="s">
        <v>138</v>
      </c>
      <c r="J97" s="13"/>
      <c r="L97" s="2"/>
    </row>
    <row r="98" spans="1:12" ht="47.25" x14ac:dyDescent="0.25">
      <c r="A98" s="9"/>
      <c r="B98" s="8"/>
      <c r="C98" s="4"/>
      <c r="D98" s="15" t="s">
        <v>176</v>
      </c>
      <c r="E98" s="41" t="s">
        <v>138</v>
      </c>
      <c r="F98" s="41" t="s">
        <v>138</v>
      </c>
      <c r="G98" s="13" t="s">
        <v>29</v>
      </c>
      <c r="H98" s="41" t="s">
        <v>138</v>
      </c>
      <c r="I98" s="41" t="s">
        <v>138</v>
      </c>
      <c r="J98" s="13"/>
      <c r="L98" s="2"/>
    </row>
    <row r="99" spans="1:12" ht="47.25" x14ac:dyDescent="0.25">
      <c r="A99" s="9"/>
      <c r="B99" s="8"/>
      <c r="C99" s="4"/>
      <c r="D99" s="15" t="s">
        <v>177</v>
      </c>
      <c r="E99" s="41" t="s">
        <v>138</v>
      </c>
      <c r="F99" s="41" t="s">
        <v>138</v>
      </c>
      <c r="G99" s="13" t="s">
        <v>29</v>
      </c>
      <c r="H99" s="41" t="s">
        <v>138</v>
      </c>
      <c r="I99" s="41" t="s">
        <v>138</v>
      </c>
      <c r="J99" s="13"/>
      <c r="L99" s="2"/>
    </row>
    <row r="100" spans="1:12" ht="31.5" x14ac:dyDescent="0.25">
      <c r="A100" s="9"/>
      <c r="B100" s="8"/>
      <c r="C100" s="4"/>
      <c r="D100" s="15" t="s">
        <v>178</v>
      </c>
      <c r="E100" s="41" t="s">
        <v>138</v>
      </c>
      <c r="F100" s="41" t="s">
        <v>138</v>
      </c>
      <c r="G100" s="13" t="s">
        <v>29</v>
      </c>
      <c r="H100" s="41" t="s">
        <v>138</v>
      </c>
      <c r="I100" s="41" t="s">
        <v>138</v>
      </c>
      <c r="J100" s="13"/>
      <c r="L100" s="2"/>
    </row>
    <row r="101" spans="1:12" ht="31.5" x14ac:dyDescent="0.25">
      <c r="A101" s="9"/>
      <c r="B101" s="8"/>
      <c r="C101" s="4"/>
      <c r="D101" s="15" t="s">
        <v>179</v>
      </c>
      <c r="E101" s="41" t="s">
        <v>138</v>
      </c>
      <c r="F101" s="41" t="s">
        <v>138</v>
      </c>
      <c r="G101" s="13" t="s">
        <v>29</v>
      </c>
      <c r="H101" s="41" t="s">
        <v>138</v>
      </c>
      <c r="I101" s="41" t="s">
        <v>138</v>
      </c>
      <c r="J101" s="13"/>
      <c r="L101" s="2"/>
    </row>
    <row r="102" spans="1:12" ht="31.5" x14ac:dyDescent="0.25">
      <c r="A102" s="9"/>
      <c r="B102" s="8"/>
      <c r="C102" s="4"/>
      <c r="D102" s="15" t="s">
        <v>180</v>
      </c>
      <c r="E102" s="41" t="s">
        <v>138</v>
      </c>
      <c r="F102" s="41" t="s">
        <v>138</v>
      </c>
      <c r="G102" s="13" t="s">
        <v>29</v>
      </c>
      <c r="H102" s="41" t="s">
        <v>138</v>
      </c>
      <c r="I102" s="41" t="s">
        <v>138</v>
      </c>
      <c r="J102" s="13"/>
      <c r="L102" s="2"/>
    </row>
    <row r="103" spans="1:12" ht="31.5" x14ac:dyDescent="0.25">
      <c r="A103" s="9"/>
      <c r="B103" s="8"/>
      <c r="C103" s="4"/>
      <c r="D103" s="15" t="s">
        <v>167</v>
      </c>
      <c r="E103" s="41" t="s">
        <v>138</v>
      </c>
      <c r="F103" s="41" t="s">
        <v>138</v>
      </c>
      <c r="G103" s="13" t="s">
        <v>154</v>
      </c>
      <c r="H103" s="41" t="s">
        <v>138</v>
      </c>
      <c r="I103" s="41" t="s">
        <v>138</v>
      </c>
      <c r="J103" s="13"/>
      <c r="L103" s="2"/>
    </row>
    <row r="104" spans="1:12" ht="18.75" x14ac:dyDescent="0.25">
      <c r="A104" s="9"/>
      <c r="B104" s="8"/>
      <c r="C104" s="4"/>
      <c r="D104" s="15" t="s">
        <v>202</v>
      </c>
      <c r="E104" s="31"/>
      <c r="F104" s="31"/>
      <c r="G104" s="13" t="s">
        <v>30</v>
      </c>
      <c r="H104" s="31"/>
      <c r="I104" s="31"/>
      <c r="J104" s="13"/>
      <c r="L104" s="2"/>
    </row>
    <row r="105" spans="1:12" ht="18.75" x14ac:dyDescent="0.25">
      <c r="A105" s="9"/>
      <c r="B105" s="8"/>
      <c r="C105" s="4"/>
      <c r="D105" s="15" t="s">
        <v>203</v>
      </c>
      <c r="E105" s="31"/>
      <c r="F105" s="31"/>
      <c r="G105" s="13" t="s">
        <v>30</v>
      </c>
      <c r="H105" s="31"/>
      <c r="I105" s="31"/>
      <c r="J105" s="13"/>
      <c r="L105" s="2"/>
    </row>
    <row r="106" spans="1:12" ht="18.75" x14ac:dyDescent="0.25">
      <c r="A106" s="9" t="s">
        <v>80</v>
      </c>
      <c r="B106" s="8"/>
      <c r="C106" s="4"/>
      <c r="D106" s="15" t="s">
        <v>66</v>
      </c>
      <c r="E106" s="41" t="s">
        <v>138</v>
      </c>
      <c r="F106" s="41" t="s">
        <v>138</v>
      </c>
      <c r="G106" s="14" t="s">
        <v>52</v>
      </c>
      <c r="H106" s="41" t="s">
        <v>138</v>
      </c>
      <c r="I106" s="41" t="s">
        <v>138</v>
      </c>
      <c r="J106" s="13"/>
      <c r="L106" s="2"/>
    </row>
    <row r="107" spans="1:12" ht="31.5" x14ac:dyDescent="0.25">
      <c r="A107" s="9" t="s">
        <v>20</v>
      </c>
      <c r="B107" s="8"/>
      <c r="C107" s="4"/>
      <c r="D107" s="15" t="s">
        <v>67</v>
      </c>
      <c r="E107" s="41" t="s">
        <v>138</v>
      </c>
      <c r="F107" s="41" t="s">
        <v>138</v>
      </c>
      <c r="G107" s="14" t="s">
        <v>52</v>
      </c>
      <c r="H107" s="41" t="s">
        <v>138</v>
      </c>
      <c r="I107" s="41" t="s">
        <v>138</v>
      </c>
      <c r="J107" s="13"/>
      <c r="L107" s="2"/>
    </row>
    <row r="108" spans="1:12" ht="18.75" x14ac:dyDescent="0.25">
      <c r="A108" s="47"/>
      <c r="B108" s="48"/>
      <c r="C108" s="22"/>
      <c r="D108" s="30"/>
      <c r="E108" s="46"/>
      <c r="F108" s="46"/>
      <c r="G108" s="12"/>
      <c r="H108" s="41"/>
      <c r="I108" s="45">
        <f>SUM(I93:I107)</f>
        <v>4830.7999999999993</v>
      </c>
      <c r="J108" s="13"/>
      <c r="L108" s="2"/>
    </row>
    <row r="109" spans="1:12" ht="18.75" x14ac:dyDescent="0.3">
      <c r="A109" s="67" t="s">
        <v>70</v>
      </c>
      <c r="B109" s="68"/>
      <c r="C109" s="68"/>
      <c r="D109" s="68"/>
      <c r="E109" s="68"/>
      <c r="F109" s="68"/>
      <c r="G109" s="69"/>
      <c r="H109" s="19"/>
      <c r="I109" s="5"/>
      <c r="J109" s="13"/>
      <c r="L109" s="2"/>
    </row>
    <row r="110" spans="1:12" ht="37.5" x14ac:dyDescent="0.25">
      <c r="A110" s="9" t="s">
        <v>95</v>
      </c>
      <c r="B110" s="8"/>
      <c r="C110" s="4"/>
      <c r="D110" s="4" t="s">
        <v>128</v>
      </c>
      <c r="E110" s="31"/>
      <c r="F110" s="13">
        <f>2+3+1+2+1+2+2+4+2+2+3</f>
        <v>24</v>
      </c>
      <c r="G110" s="13" t="s">
        <v>113</v>
      </c>
      <c r="H110" s="33">
        <f>(1263+1895.8+632+1291.6+645.2+1325.2+2653.4+1367+1367+2052.2)/F110/3</f>
        <v>201.2833333333333</v>
      </c>
      <c r="I110" s="33">
        <f>F110*H110</f>
        <v>4830.7999999999993</v>
      </c>
      <c r="J110" s="13" t="s">
        <v>114</v>
      </c>
      <c r="L110" s="2"/>
    </row>
    <row r="111" spans="1:12" ht="31.5" x14ac:dyDescent="0.25">
      <c r="A111" s="9"/>
      <c r="B111" s="8"/>
      <c r="C111" s="4"/>
      <c r="D111" s="15" t="s">
        <v>222</v>
      </c>
      <c r="E111" s="31"/>
      <c r="F111" s="31">
        <f>7</f>
        <v>7</v>
      </c>
      <c r="G111" s="13" t="s">
        <v>216</v>
      </c>
      <c r="H111" s="55">
        <f>5447.2/F111</f>
        <v>778.17142857142858</v>
      </c>
      <c r="I111" s="58">
        <f>F111*H111</f>
        <v>5447.2</v>
      </c>
      <c r="J111" s="13" t="s">
        <v>119</v>
      </c>
      <c r="L111" s="2"/>
    </row>
    <row r="112" spans="1:12" ht="31.5" x14ac:dyDescent="0.25">
      <c r="A112" s="9"/>
      <c r="B112" s="8"/>
      <c r="C112" s="4"/>
      <c r="D112" s="15" t="s">
        <v>223</v>
      </c>
      <c r="E112" s="41"/>
      <c r="F112" s="41">
        <f>7</f>
        <v>7</v>
      </c>
      <c r="G112" s="13" t="s">
        <v>29</v>
      </c>
      <c r="H112" s="45">
        <f>11349.2/F112</f>
        <v>1621.3142857142859</v>
      </c>
      <c r="I112" s="57">
        <f>F112*H112</f>
        <v>11349.2</v>
      </c>
      <c r="J112" s="13" t="s">
        <v>119</v>
      </c>
      <c r="L112" s="2"/>
    </row>
    <row r="113" spans="1:12" ht="18.75" x14ac:dyDescent="0.25">
      <c r="A113" s="9"/>
      <c r="B113" s="8"/>
      <c r="C113" s="4"/>
      <c r="D113" s="4" t="s">
        <v>112</v>
      </c>
      <c r="E113" s="41"/>
      <c r="F113" s="41">
        <f>3+5+5+5+6+6+3+3+5+6+6+3</f>
        <v>56</v>
      </c>
      <c r="G113" s="13" t="s">
        <v>29</v>
      </c>
      <c r="H113" s="45">
        <f>(904.2+1506.4+1506.4+1538.4+1844.4+1897.2+922.8+948.8+1582+1954.4+1954.4+578.2)/F113</f>
        <v>306.02857142857147</v>
      </c>
      <c r="I113" s="41">
        <f>F113*H113</f>
        <v>17137.600000000002</v>
      </c>
      <c r="J113" s="13" t="s">
        <v>114</v>
      </c>
      <c r="L113" s="2"/>
    </row>
    <row r="114" spans="1:12" ht="18.75" x14ac:dyDescent="0.25">
      <c r="A114" s="9"/>
      <c r="B114" s="8"/>
      <c r="C114" s="4"/>
      <c r="D114" s="4" t="s">
        <v>156</v>
      </c>
      <c r="E114" s="41" t="s">
        <v>138</v>
      </c>
      <c r="F114" s="41" t="s">
        <v>138</v>
      </c>
      <c r="G114" s="13" t="s">
        <v>29</v>
      </c>
      <c r="H114" s="41" t="s">
        <v>138</v>
      </c>
      <c r="I114" s="41" t="s">
        <v>138</v>
      </c>
      <c r="J114" s="13"/>
      <c r="L114" s="2"/>
    </row>
    <row r="115" spans="1:12" ht="18.75" x14ac:dyDescent="0.25">
      <c r="A115" s="9"/>
      <c r="B115" s="8"/>
      <c r="C115" s="4"/>
      <c r="D115" s="4" t="s">
        <v>186</v>
      </c>
      <c r="E115" s="41" t="s">
        <v>138</v>
      </c>
      <c r="F115" s="41" t="s">
        <v>138</v>
      </c>
      <c r="G115" s="13" t="s">
        <v>135</v>
      </c>
      <c r="H115" s="41" t="s">
        <v>138</v>
      </c>
      <c r="I115" s="41" t="s">
        <v>138</v>
      </c>
      <c r="J115" s="13"/>
      <c r="L115" s="2"/>
    </row>
    <row r="116" spans="1:12" ht="18.75" x14ac:dyDescent="0.25">
      <c r="A116" s="9"/>
      <c r="B116" s="8"/>
      <c r="C116" s="4"/>
      <c r="D116" s="4" t="s">
        <v>187</v>
      </c>
      <c r="E116" s="41" t="s">
        <v>138</v>
      </c>
      <c r="F116" s="41" t="s">
        <v>138</v>
      </c>
      <c r="G116" s="13" t="s">
        <v>135</v>
      </c>
      <c r="H116" s="41" t="s">
        <v>138</v>
      </c>
      <c r="I116" s="41" t="s">
        <v>138</v>
      </c>
      <c r="J116" s="13"/>
      <c r="L116" s="2"/>
    </row>
    <row r="117" spans="1:12" ht="18.75" x14ac:dyDescent="0.25">
      <c r="A117" s="9" t="s">
        <v>21</v>
      </c>
      <c r="B117" s="8"/>
      <c r="C117" s="4"/>
      <c r="D117" s="4" t="s">
        <v>73</v>
      </c>
      <c r="E117" s="41" t="s">
        <v>138</v>
      </c>
      <c r="F117" s="41" t="s">
        <v>138</v>
      </c>
      <c r="G117" s="13" t="s">
        <v>29</v>
      </c>
      <c r="H117" s="41" t="s">
        <v>138</v>
      </c>
      <c r="I117" s="41" t="s">
        <v>138</v>
      </c>
      <c r="J117" s="13"/>
      <c r="L117" s="2"/>
    </row>
    <row r="118" spans="1:12" ht="18.75" x14ac:dyDescent="0.25">
      <c r="A118" s="47"/>
      <c r="B118" s="48"/>
      <c r="C118" s="22"/>
      <c r="D118" s="22"/>
      <c r="E118" s="46"/>
      <c r="F118" s="46"/>
      <c r="G118" s="31"/>
      <c r="H118" s="41"/>
      <c r="I118" s="45">
        <f>SUM(I110:I117)</f>
        <v>38764.800000000003</v>
      </c>
      <c r="J118" s="13"/>
      <c r="L118" s="2"/>
    </row>
    <row r="119" spans="1:12" ht="18.75" x14ac:dyDescent="0.3">
      <c r="A119" s="67" t="s">
        <v>75</v>
      </c>
      <c r="B119" s="68"/>
      <c r="C119" s="68"/>
      <c r="D119" s="68"/>
      <c r="E119" s="68"/>
      <c r="F119" s="68"/>
      <c r="G119" s="69"/>
      <c r="H119" s="5"/>
      <c r="I119" s="5"/>
      <c r="J119" s="13"/>
      <c r="L119" s="2"/>
    </row>
    <row r="120" spans="1:12" ht="38.25" customHeight="1" x14ac:dyDescent="0.25">
      <c r="A120" s="9" t="s">
        <v>22</v>
      </c>
      <c r="B120" s="5"/>
      <c r="C120" s="4"/>
      <c r="D120" s="15" t="s">
        <v>140</v>
      </c>
      <c r="E120" s="41" t="s">
        <v>138</v>
      </c>
      <c r="F120" s="41">
        <f>1</f>
        <v>1</v>
      </c>
      <c r="G120" s="13" t="s">
        <v>52</v>
      </c>
      <c r="H120" s="41">
        <f>5759.6/F120</f>
        <v>5759.6</v>
      </c>
      <c r="I120" s="41">
        <f>F120*H120</f>
        <v>5759.6</v>
      </c>
      <c r="J120" s="13" t="s">
        <v>120</v>
      </c>
      <c r="L120" s="2"/>
    </row>
    <row r="121" spans="1:12" ht="38.25" customHeight="1" x14ac:dyDescent="0.25">
      <c r="A121" s="9"/>
      <c r="B121" s="5"/>
      <c r="C121" s="4"/>
      <c r="D121" s="15" t="s">
        <v>166</v>
      </c>
      <c r="E121" s="41" t="s">
        <v>138</v>
      </c>
      <c r="F121" s="41" t="s">
        <v>138</v>
      </c>
      <c r="G121" s="13" t="s">
        <v>30</v>
      </c>
      <c r="H121" s="41" t="s">
        <v>138</v>
      </c>
      <c r="I121" s="41" t="s">
        <v>138</v>
      </c>
      <c r="J121" s="13"/>
      <c r="L121" s="2"/>
    </row>
    <row r="122" spans="1:12" ht="18.75" x14ac:dyDescent="0.25">
      <c r="A122" s="9" t="s">
        <v>23</v>
      </c>
      <c r="B122" s="5"/>
      <c r="C122" s="4"/>
      <c r="D122" s="4" t="s">
        <v>74</v>
      </c>
      <c r="E122" s="41" t="s">
        <v>138</v>
      </c>
      <c r="F122" s="41" t="s">
        <v>138</v>
      </c>
      <c r="G122" s="13" t="s">
        <v>52</v>
      </c>
      <c r="H122" s="41" t="s">
        <v>138</v>
      </c>
      <c r="I122" s="41" t="s">
        <v>138</v>
      </c>
      <c r="J122" s="13"/>
      <c r="L122" s="2"/>
    </row>
    <row r="123" spans="1:12" ht="31.5" x14ac:dyDescent="0.25">
      <c r="A123" s="9" t="s">
        <v>124</v>
      </c>
      <c r="B123" s="5"/>
      <c r="C123" s="4"/>
      <c r="D123" s="15" t="s">
        <v>151</v>
      </c>
      <c r="E123" s="41"/>
      <c r="F123" s="41"/>
      <c r="G123" s="13" t="s">
        <v>52</v>
      </c>
      <c r="H123" s="41">
        <v>4460</v>
      </c>
      <c r="I123" s="41">
        <f t="shared" ref="I123:I126" si="2">F123*H123</f>
        <v>0</v>
      </c>
      <c r="J123" s="13" t="s">
        <v>120</v>
      </c>
      <c r="L123" s="2"/>
    </row>
    <row r="124" spans="1:12" ht="18.75" x14ac:dyDescent="0.25">
      <c r="A124" s="9"/>
      <c r="B124" s="5"/>
      <c r="C124" s="4"/>
      <c r="D124" s="15" t="s">
        <v>214</v>
      </c>
      <c r="E124" s="41"/>
      <c r="F124" s="41">
        <v>1</v>
      </c>
      <c r="G124" s="13" t="s">
        <v>30</v>
      </c>
      <c r="H124" s="41">
        <f>306</f>
        <v>306</v>
      </c>
      <c r="I124" s="41">
        <f t="shared" si="2"/>
        <v>306</v>
      </c>
      <c r="J124" s="13" t="s">
        <v>120</v>
      </c>
      <c r="L124" s="2"/>
    </row>
    <row r="125" spans="1:12" ht="31.5" x14ac:dyDescent="0.25">
      <c r="A125" s="9"/>
      <c r="B125" s="5"/>
      <c r="C125" s="4"/>
      <c r="D125" s="15" t="s">
        <v>125</v>
      </c>
      <c r="E125" s="41"/>
      <c r="F125" s="41">
        <f>1</f>
        <v>1</v>
      </c>
      <c r="G125" s="13" t="s">
        <v>30</v>
      </c>
      <c r="H125" s="41">
        <f>1676.4/F125</f>
        <v>1676.4</v>
      </c>
      <c r="I125" s="62">
        <f t="shared" si="2"/>
        <v>1676.4</v>
      </c>
      <c r="J125" s="13" t="s">
        <v>120</v>
      </c>
      <c r="L125" s="2"/>
    </row>
    <row r="126" spans="1:12" ht="18.75" x14ac:dyDescent="0.25">
      <c r="A126" s="9"/>
      <c r="B126" s="5"/>
      <c r="C126" s="4"/>
      <c r="D126" s="15" t="s">
        <v>181</v>
      </c>
      <c r="E126" s="41"/>
      <c r="F126" s="41">
        <f>2+3+3+3</f>
        <v>11</v>
      </c>
      <c r="G126" s="13" t="s">
        <v>52</v>
      </c>
      <c r="H126" s="45">
        <f>(144.6+217.4+217.4+222.4)/F126</f>
        <v>72.890909090909091</v>
      </c>
      <c r="I126" s="41">
        <f t="shared" si="2"/>
        <v>801.8</v>
      </c>
      <c r="J126" s="13" t="s">
        <v>114</v>
      </c>
      <c r="L126" s="2"/>
    </row>
    <row r="127" spans="1:12" ht="18.75" x14ac:dyDescent="0.25">
      <c r="A127" s="9"/>
      <c r="B127" s="5"/>
      <c r="C127" s="4"/>
      <c r="D127" s="15" t="s">
        <v>104</v>
      </c>
      <c r="E127" s="32"/>
      <c r="F127" s="13">
        <f>4+4+2+1+2+2+1+2+2+2+2</f>
        <v>24</v>
      </c>
      <c r="G127" s="13" t="s">
        <v>52</v>
      </c>
      <c r="H127" s="33">
        <f>(672.4+672.6+168.8+168.8+404.6+337.8+204.4+404.6+409.6+409.6+409.6)/F127</f>
        <v>177.61666666666667</v>
      </c>
      <c r="I127" s="13">
        <f t="shared" ref="I127" si="3">F127*H127</f>
        <v>4262.8</v>
      </c>
      <c r="J127" s="13" t="s">
        <v>114</v>
      </c>
      <c r="L127" s="2"/>
    </row>
    <row r="128" spans="1:12" ht="18.75" x14ac:dyDescent="0.25">
      <c r="A128" s="9"/>
      <c r="B128" s="5"/>
      <c r="C128" s="4"/>
      <c r="D128" s="15" t="s">
        <v>139</v>
      </c>
      <c r="E128" s="41"/>
      <c r="F128" s="41"/>
      <c r="G128" s="13" t="s">
        <v>30</v>
      </c>
      <c r="H128" s="41"/>
      <c r="I128" s="41" t="s">
        <v>138</v>
      </c>
      <c r="J128" s="13"/>
      <c r="L128" s="2"/>
    </row>
    <row r="129" spans="1:12" ht="56.25" x14ac:dyDescent="0.25">
      <c r="A129" s="9" t="s">
        <v>105</v>
      </c>
      <c r="B129" s="5"/>
      <c r="C129" s="4"/>
      <c r="D129" s="15" t="s">
        <v>122</v>
      </c>
      <c r="E129" s="32"/>
      <c r="F129" s="13">
        <f>9+9+9+9+9+9+9+9+9+9+9+9</f>
        <v>108</v>
      </c>
      <c r="G129" s="13" t="s">
        <v>106</v>
      </c>
      <c r="H129" s="33">
        <f>(354+354+354+364.2+364.2+372.2+364.2+372.2+372.2+382.4+382.4+382.4)/F129</f>
        <v>40.911111111111104</v>
      </c>
      <c r="I129" s="13">
        <f>F129*H129</f>
        <v>4418.3999999999996</v>
      </c>
      <c r="J129" s="13" t="s">
        <v>114</v>
      </c>
      <c r="L129" s="2"/>
    </row>
    <row r="130" spans="1:12" ht="18.75" x14ac:dyDescent="0.25">
      <c r="A130" s="47"/>
      <c r="B130" s="22"/>
      <c r="C130" s="22"/>
      <c r="D130" s="30"/>
      <c r="E130" s="49"/>
      <c r="F130" s="50"/>
      <c r="G130" s="31"/>
      <c r="H130" s="31"/>
      <c r="I130" s="13">
        <f>SUM(I120:I129)</f>
        <v>17225</v>
      </c>
      <c r="J130" s="13"/>
      <c r="L130" s="2"/>
    </row>
    <row r="131" spans="1:12" ht="18.75" x14ac:dyDescent="0.25">
      <c r="A131" s="74" t="s">
        <v>88</v>
      </c>
      <c r="B131" s="75"/>
      <c r="C131" s="75"/>
      <c r="D131" s="75"/>
      <c r="E131" s="75"/>
      <c r="F131" s="75"/>
      <c r="G131" s="76"/>
      <c r="H131" s="12"/>
      <c r="I131" s="5"/>
      <c r="J131" s="13"/>
      <c r="L131" s="2"/>
    </row>
    <row r="132" spans="1:12" ht="18.75" x14ac:dyDescent="0.25">
      <c r="A132" s="26"/>
      <c r="B132" s="27"/>
      <c r="C132" s="27"/>
      <c r="D132" s="36" t="s">
        <v>115</v>
      </c>
      <c r="E132" s="41"/>
      <c r="F132" s="41"/>
      <c r="G132" s="38" t="s">
        <v>30</v>
      </c>
      <c r="H132" s="41"/>
      <c r="I132" s="41"/>
      <c r="J132" s="13"/>
      <c r="L132" s="2"/>
    </row>
    <row r="133" spans="1:12" ht="63" x14ac:dyDescent="0.25">
      <c r="A133" s="9" t="s">
        <v>86</v>
      </c>
      <c r="B133" s="22"/>
      <c r="C133" s="22"/>
      <c r="D133" s="23" t="s">
        <v>117</v>
      </c>
      <c r="E133" s="37">
        <v>508</v>
      </c>
      <c r="F133" s="13">
        <v>508</v>
      </c>
      <c r="G133" s="31" t="s">
        <v>87</v>
      </c>
      <c r="H133" s="31">
        <v>4.8</v>
      </c>
      <c r="I133" s="13">
        <f>F133*H133*12</f>
        <v>29260.800000000003</v>
      </c>
      <c r="J133" s="13" t="s">
        <v>114</v>
      </c>
      <c r="L133" s="2"/>
    </row>
    <row r="134" spans="1:12" ht="18.75" x14ac:dyDescent="0.25">
      <c r="A134" s="47"/>
      <c r="B134" s="22"/>
      <c r="C134" s="22"/>
      <c r="D134" s="30"/>
      <c r="E134" s="49"/>
      <c r="F134" s="50"/>
      <c r="G134" s="31"/>
      <c r="H134" s="31"/>
      <c r="I134" s="13">
        <f>SUM(I132:I133)</f>
        <v>29260.800000000003</v>
      </c>
      <c r="J134" s="13"/>
      <c r="L134" s="2"/>
    </row>
    <row r="135" spans="1:12" ht="18.75" x14ac:dyDescent="0.3">
      <c r="A135" s="67" t="s">
        <v>76</v>
      </c>
      <c r="B135" s="68"/>
      <c r="C135" s="68"/>
      <c r="D135" s="68"/>
      <c r="E135" s="68"/>
      <c r="F135" s="68"/>
      <c r="G135" s="69"/>
      <c r="H135" s="19"/>
      <c r="I135" s="5"/>
      <c r="J135" s="13"/>
      <c r="L135" s="2"/>
    </row>
    <row r="136" spans="1:12" ht="46.5" customHeight="1" x14ac:dyDescent="0.3">
      <c r="A136" s="34" t="s">
        <v>130</v>
      </c>
      <c r="B136" s="24"/>
      <c r="C136" s="24"/>
      <c r="D136" s="35" t="s">
        <v>129</v>
      </c>
      <c r="E136" s="13">
        <v>72</v>
      </c>
      <c r="F136" s="13">
        <v>72</v>
      </c>
      <c r="G136" s="13" t="s">
        <v>137</v>
      </c>
      <c r="H136" s="13">
        <v>13</v>
      </c>
      <c r="I136" s="13">
        <f>F136*H136*3</f>
        <v>2808</v>
      </c>
      <c r="J136" s="13" t="s">
        <v>150</v>
      </c>
      <c r="L136" s="2"/>
    </row>
    <row r="137" spans="1:12" ht="18.75" x14ac:dyDescent="0.25">
      <c r="A137" s="9" t="s">
        <v>24</v>
      </c>
      <c r="B137" s="5"/>
      <c r="C137" s="4"/>
      <c r="D137" s="4" t="s">
        <v>72</v>
      </c>
      <c r="E137" s="41" t="s">
        <v>138</v>
      </c>
      <c r="F137" s="41" t="s">
        <v>138</v>
      </c>
      <c r="G137" s="14" t="s">
        <v>52</v>
      </c>
      <c r="H137" s="41" t="s">
        <v>138</v>
      </c>
      <c r="I137" s="41" t="s">
        <v>138</v>
      </c>
      <c r="J137" s="13"/>
      <c r="L137" s="2"/>
    </row>
    <row r="138" spans="1:12" ht="47.25" x14ac:dyDescent="0.25">
      <c r="A138" s="9" t="s">
        <v>25</v>
      </c>
      <c r="B138" s="5"/>
      <c r="C138" s="4"/>
      <c r="D138" s="15" t="s">
        <v>27</v>
      </c>
      <c r="E138" s="41" t="s">
        <v>138</v>
      </c>
      <c r="F138" s="41" t="s">
        <v>138</v>
      </c>
      <c r="G138" s="14" t="s">
        <v>52</v>
      </c>
      <c r="H138" s="41" t="s">
        <v>138</v>
      </c>
      <c r="I138" s="41" t="s">
        <v>138</v>
      </c>
      <c r="J138" s="13"/>
      <c r="L138" s="2"/>
    </row>
    <row r="139" spans="1:12" ht="31.5" x14ac:dyDescent="0.25">
      <c r="A139" s="9" t="s">
        <v>26</v>
      </c>
      <c r="B139" s="5"/>
      <c r="C139" s="4"/>
      <c r="D139" s="15" t="s">
        <v>71</v>
      </c>
      <c r="E139" s="41" t="s">
        <v>138</v>
      </c>
      <c r="F139" s="41" t="s">
        <v>138</v>
      </c>
      <c r="G139" s="14" t="s">
        <v>52</v>
      </c>
      <c r="H139" s="41" t="s">
        <v>138</v>
      </c>
      <c r="I139" s="41" t="s">
        <v>138</v>
      </c>
      <c r="J139" s="13"/>
      <c r="L139" s="2"/>
    </row>
    <row r="140" spans="1:12" ht="18.75" x14ac:dyDescent="0.25">
      <c r="A140" s="47"/>
      <c r="B140" s="22"/>
      <c r="C140" s="22"/>
      <c r="D140" s="30"/>
      <c r="E140" s="46"/>
      <c r="F140" s="46"/>
      <c r="G140" s="12"/>
      <c r="H140" s="63"/>
      <c r="I140" s="63">
        <f>SUM(I136:I139)</f>
        <v>2808</v>
      </c>
      <c r="J140" s="13"/>
      <c r="L140" s="2"/>
    </row>
    <row r="141" spans="1:12" ht="18.75" x14ac:dyDescent="0.3">
      <c r="A141" s="67" t="s">
        <v>81</v>
      </c>
      <c r="B141" s="68"/>
      <c r="C141" s="68"/>
      <c r="D141" s="68"/>
      <c r="E141" s="68"/>
      <c r="F141" s="68"/>
      <c r="G141" s="69"/>
      <c r="H141" s="25"/>
      <c r="I141" s="25"/>
      <c r="J141" s="25"/>
      <c r="K141" s="2"/>
      <c r="L141" s="2"/>
    </row>
    <row r="142" spans="1:12" ht="48" x14ac:dyDescent="0.3">
      <c r="A142" s="6" t="s">
        <v>63</v>
      </c>
      <c r="B142" s="6"/>
      <c r="C142" s="4"/>
      <c r="D142" s="15" t="s">
        <v>82</v>
      </c>
      <c r="E142" s="41"/>
      <c r="F142" s="41"/>
      <c r="G142" s="13" t="s">
        <v>111</v>
      </c>
      <c r="H142" s="41"/>
      <c r="I142" s="45"/>
      <c r="J142" s="39"/>
      <c r="L142" s="2"/>
    </row>
    <row r="143" spans="1:12" ht="32.25" x14ac:dyDescent="0.3">
      <c r="A143" s="28"/>
      <c r="B143" s="29"/>
      <c r="C143" s="22"/>
      <c r="D143" s="30" t="s">
        <v>107</v>
      </c>
      <c r="E143" s="41">
        <v>1</v>
      </c>
      <c r="F143" s="41">
        <v>1</v>
      </c>
      <c r="G143" s="13" t="s">
        <v>108</v>
      </c>
      <c r="H143" s="41">
        <v>3825</v>
      </c>
      <c r="I143" s="44">
        <f>F143*H143</f>
        <v>3825</v>
      </c>
      <c r="J143" s="39" t="s">
        <v>116</v>
      </c>
      <c r="L143" s="2"/>
    </row>
    <row r="144" spans="1:12" ht="18.75" x14ac:dyDescent="0.3">
      <c r="A144" s="28"/>
      <c r="B144" s="29"/>
      <c r="C144" s="22"/>
      <c r="D144" s="30"/>
      <c r="E144" s="46"/>
      <c r="F144" s="46"/>
      <c r="G144" s="31"/>
      <c r="H144" s="46"/>
      <c r="I144" s="52">
        <f>SUM(I142:I143)</f>
        <v>3825</v>
      </c>
      <c r="J144" s="51"/>
      <c r="L144" s="2"/>
    </row>
    <row r="145" spans="1:12" ht="18.75" x14ac:dyDescent="0.3">
      <c r="A145" s="67" t="s">
        <v>96</v>
      </c>
      <c r="B145" s="68"/>
      <c r="C145" s="68"/>
      <c r="D145" s="68"/>
      <c r="E145" s="68"/>
      <c r="F145" s="68"/>
      <c r="G145" s="69"/>
      <c r="H145" s="67"/>
      <c r="I145" s="68"/>
      <c r="J145" s="68"/>
      <c r="L145" s="2"/>
    </row>
    <row r="146" spans="1:12" ht="32.25" x14ac:dyDescent="0.3">
      <c r="A146" s="34" t="s">
        <v>149</v>
      </c>
      <c r="B146" s="24"/>
      <c r="C146" s="24"/>
      <c r="D146" s="40" t="s">
        <v>132</v>
      </c>
      <c r="E146" s="13"/>
      <c r="F146" s="13"/>
      <c r="G146" s="13" t="s">
        <v>133</v>
      </c>
      <c r="H146" s="13">
        <v>800</v>
      </c>
      <c r="I146" s="33">
        <f t="shared" ref="I146:I149" si="4">F146*H146</f>
        <v>0</v>
      </c>
      <c r="J146" s="13" t="s">
        <v>121</v>
      </c>
      <c r="L146" s="2"/>
    </row>
    <row r="147" spans="1:12" ht="48" x14ac:dyDescent="0.3">
      <c r="A147" s="24"/>
      <c r="B147" s="24"/>
      <c r="C147" s="24"/>
      <c r="D147" s="40" t="s">
        <v>134</v>
      </c>
      <c r="E147" s="41"/>
      <c r="F147" s="41">
        <f>20</f>
        <v>20</v>
      </c>
      <c r="G147" s="13" t="s">
        <v>135</v>
      </c>
      <c r="H147" s="41">
        <v>650</v>
      </c>
      <c r="I147" s="56">
        <f>F147*H147</f>
        <v>13000</v>
      </c>
      <c r="J147" s="13" t="s">
        <v>121</v>
      </c>
      <c r="L147" s="2"/>
    </row>
    <row r="148" spans="1:12" ht="32.25" x14ac:dyDescent="0.3">
      <c r="A148" s="24"/>
      <c r="B148" s="24"/>
      <c r="C148" s="24"/>
      <c r="D148" s="40" t="s">
        <v>206</v>
      </c>
      <c r="E148" s="13"/>
      <c r="F148" s="13">
        <f>40+40+10+25</f>
        <v>115</v>
      </c>
      <c r="G148" s="13" t="s">
        <v>136</v>
      </c>
      <c r="H148" s="33">
        <f>(2000+2000+344+1146)/F148</f>
        <v>47.739130434782609</v>
      </c>
      <c r="I148" s="59">
        <f t="shared" si="4"/>
        <v>5490</v>
      </c>
      <c r="J148" s="13" t="s">
        <v>121</v>
      </c>
      <c r="L148" s="2"/>
    </row>
    <row r="149" spans="1:12" ht="32.25" x14ac:dyDescent="0.3">
      <c r="A149" s="24"/>
      <c r="B149" s="24"/>
      <c r="C149" s="24"/>
      <c r="D149" s="40" t="s">
        <v>207</v>
      </c>
      <c r="E149" s="13"/>
      <c r="F149" s="13">
        <f>15</f>
        <v>15</v>
      </c>
      <c r="G149" s="13" t="s">
        <v>136</v>
      </c>
      <c r="H149" s="33">
        <f>687/F149</f>
        <v>45.8</v>
      </c>
      <c r="I149" s="59">
        <f t="shared" si="4"/>
        <v>687</v>
      </c>
      <c r="J149" s="13" t="s">
        <v>121</v>
      </c>
      <c r="L149" s="2"/>
    </row>
    <row r="150" spans="1:12" ht="18.75" x14ac:dyDescent="0.3">
      <c r="A150" s="24"/>
      <c r="B150" s="24"/>
      <c r="C150" s="24"/>
      <c r="D150" s="40" t="s">
        <v>209</v>
      </c>
      <c r="E150" s="13"/>
      <c r="F150" s="13">
        <v>6</v>
      </c>
      <c r="G150" s="13" t="s">
        <v>30</v>
      </c>
      <c r="H150" s="33">
        <f>55335/F150</f>
        <v>9222.5</v>
      </c>
      <c r="I150" s="59">
        <f>F150*H150</f>
        <v>55335</v>
      </c>
      <c r="J150" s="13" t="s">
        <v>120</v>
      </c>
      <c r="L150" s="2"/>
    </row>
    <row r="151" spans="1:12" ht="18.75" x14ac:dyDescent="0.3">
      <c r="A151" s="24"/>
      <c r="B151" s="24"/>
      <c r="C151" s="24"/>
      <c r="D151" s="40" t="s">
        <v>210</v>
      </c>
      <c r="E151" s="13"/>
      <c r="F151" s="13">
        <v>3</v>
      </c>
      <c r="G151" s="13" t="s">
        <v>111</v>
      </c>
      <c r="H151" s="33">
        <f>37456.2/F151</f>
        <v>12485.4</v>
      </c>
      <c r="I151" s="59">
        <f>F151*H151</f>
        <v>37456.199999999997</v>
      </c>
      <c r="J151" s="13" t="s">
        <v>211</v>
      </c>
      <c r="L151" s="2"/>
    </row>
    <row r="152" spans="1:12" ht="63" x14ac:dyDescent="0.3">
      <c r="A152" s="24"/>
      <c r="B152" s="24"/>
      <c r="C152" s="24"/>
      <c r="D152" s="40" t="s">
        <v>201</v>
      </c>
      <c r="E152" s="13"/>
      <c r="F152" s="13">
        <f>18+19</f>
        <v>37</v>
      </c>
      <c r="G152" s="38" t="s">
        <v>199</v>
      </c>
      <c r="H152" s="33">
        <f>(10363.2+10939)/F152</f>
        <v>575.73513513513512</v>
      </c>
      <c r="I152" s="60">
        <f t="shared" ref="I152" si="5">F152*H152</f>
        <v>21302.2</v>
      </c>
      <c r="J152" s="13" t="s">
        <v>120</v>
      </c>
      <c r="L152" s="2"/>
    </row>
    <row r="153" spans="1:12" ht="63" x14ac:dyDescent="0.3">
      <c r="A153" s="24"/>
      <c r="B153" s="24"/>
      <c r="C153" s="24"/>
      <c r="D153" s="40" t="s">
        <v>200</v>
      </c>
      <c r="E153" s="13"/>
      <c r="F153" s="13">
        <f>4.8+38</f>
        <v>42.8</v>
      </c>
      <c r="G153" s="38" t="s">
        <v>199</v>
      </c>
      <c r="H153" s="33">
        <f>(731+5774.6)/F153</f>
        <v>152.00000000000003</v>
      </c>
      <c r="I153" s="59">
        <f t="shared" ref="I153" si="6">F153*H153</f>
        <v>6505.6</v>
      </c>
      <c r="J153" s="13" t="s">
        <v>120</v>
      </c>
      <c r="L153" s="2"/>
    </row>
    <row r="154" spans="1:12" ht="18.75" x14ac:dyDescent="0.3">
      <c r="A154" s="24"/>
      <c r="B154" s="24"/>
      <c r="C154" s="24"/>
      <c r="D154" s="40" t="s">
        <v>215</v>
      </c>
      <c r="E154" s="31"/>
      <c r="F154" s="31">
        <f>2</f>
        <v>2</v>
      </c>
      <c r="G154" s="38" t="s">
        <v>216</v>
      </c>
      <c r="H154" s="55">
        <f>1404.2/F154</f>
        <v>702.1</v>
      </c>
      <c r="I154" s="58">
        <f>F154*H154</f>
        <v>1404.2</v>
      </c>
      <c r="J154" s="13" t="s">
        <v>116</v>
      </c>
      <c r="L154" s="2"/>
    </row>
    <row r="155" spans="1:12" ht="18.75" x14ac:dyDescent="0.3">
      <c r="A155" s="24"/>
      <c r="B155" s="24"/>
      <c r="C155" s="24"/>
      <c r="D155" s="40" t="s">
        <v>213</v>
      </c>
      <c r="E155" s="31"/>
      <c r="F155" s="31">
        <v>1</v>
      </c>
      <c r="G155" s="38" t="s">
        <v>30</v>
      </c>
      <c r="H155" s="55">
        <f>6200/F155</f>
        <v>6200</v>
      </c>
      <c r="I155" s="58">
        <f>F155*H155</f>
        <v>6200</v>
      </c>
      <c r="J155" s="13" t="s">
        <v>116</v>
      </c>
      <c r="L155" s="2"/>
    </row>
    <row r="156" spans="1:12" ht="18.75" x14ac:dyDescent="0.3">
      <c r="A156" s="24"/>
      <c r="B156" s="24"/>
      <c r="C156" s="24"/>
      <c r="D156" s="40"/>
      <c r="E156" s="31"/>
      <c r="F156" s="31"/>
      <c r="G156" s="38"/>
      <c r="H156" s="55"/>
      <c r="I156" s="58">
        <f>SUM(I146:I155)</f>
        <v>147380.20000000001</v>
      </c>
      <c r="J156" s="13"/>
      <c r="L156" s="2"/>
    </row>
    <row r="157" spans="1:12" ht="18.75" x14ac:dyDescent="0.3">
      <c r="A157" s="77" t="s">
        <v>224</v>
      </c>
      <c r="B157" s="14"/>
      <c r="C157" s="14"/>
      <c r="D157" s="43"/>
      <c r="E157" s="14"/>
      <c r="F157" s="14"/>
      <c r="G157" s="38"/>
      <c r="H157" s="14"/>
      <c r="I157" s="78">
        <f>I5+I24+I25+I26+I28+I40+I70+I111+I112+I147+I148+I149+I150+I151+I152+I153+I154+I155</f>
        <v>697234.99999999965</v>
      </c>
      <c r="J157" s="14"/>
      <c r="L157" s="2"/>
    </row>
    <row r="158" spans="1:12" ht="15.75" x14ac:dyDescent="0.25">
      <c r="A158" s="53" t="s">
        <v>204</v>
      </c>
      <c r="B158" s="25"/>
      <c r="C158" s="25"/>
      <c r="D158" s="43"/>
      <c r="E158" s="13"/>
      <c r="F158" s="13"/>
      <c r="G158" s="38"/>
      <c r="H158" s="13"/>
      <c r="I158" s="54">
        <f>I15+I35+I48+I77+I91+I108+I118+I130+I134+I140+I144+I156</f>
        <v>1020310.0000000002</v>
      </c>
      <c r="J158" s="14"/>
      <c r="K158" s="2"/>
      <c r="L158" s="2"/>
    </row>
    <row r="159" spans="1:12" ht="99.75" customHeight="1" x14ac:dyDescent="0.25">
      <c r="A159" s="64" t="s">
        <v>103</v>
      </c>
      <c r="B159" s="64"/>
      <c r="C159" s="64"/>
      <c r="D159" s="64"/>
      <c r="E159" s="64"/>
      <c r="F159" s="64"/>
      <c r="G159" s="64"/>
      <c r="H159" s="64"/>
      <c r="I159" s="64"/>
      <c r="J159" s="64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61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 t="s">
        <v>212</v>
      </c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</sheetData>
  <mergeCells count="16">
    <mergeCell ref="A159:J159"/>
    <mergeCell ref="A2:J2"/>
    <mergeCell ref="A145:G145"/>
    <mergeCell ref="H145:J145"/>
    <mergeCell ref="I1:J1"/>
    <mergeCell ref="A92:G92"/>
    <mergeCell ref="A119:G119"/>
    <mergeCell ref="A141:G141"/>
    <mergeCell ref="A36:G36"/>
    <mergeCell ref="A16:G16"/>
    <mergeCell ref="A4:G4"/>
    <mergeCell ref="A131:G131"/>
    <mergeCell ref="A49:G49"/>
    <mergeCell ref="A78:G78"/>
    <mergeCell ref="A109:G109"/>
    <mergeCell ref="A135:G135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2024-03-06T12:59:17Z</dcterms:modified>
</cp:coreProperties>
</file>