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03" i="1" l="1"/>
  <c r="I201" i="1"/>
  <c r="F29" i="1"/>
  <c r="H29" i="1" s="1"/>
  <c r="F21" i="1"/>
  <c r="H21" i="1" s="1"/>
  <c r="F192" i="1"/>
  <c r="H192" i="1" s="1"/>
  <c r="F47" i="1"/>
  <c r="H47" i="1" s="1"/>
  <c r="F74" i="1"/>
  <c r="F6" i="1"/>
  <c r="H6" i="1" s="1"/>
  <c r="F70" i="1"/>
  <c r="H70" i="1" s="1"/>
  <c r="F51" i="1"/>
  <c r="H51" i="1" s="1"/>
  <c r="F172" i="1"/>
  <c r="H172" i="1" s="1"/>
  <c r="F169" i="1"/>
  <c r="H169" i="1" s="1"/>
  <c r="F108" i="1"/>
  <c r="H108" i="1" s="1"/>
  <c r="F134" i="1"/>
  <c r="H134" i="1" s="1"/>
  <c r="F147" i="1"/>
  <c r="H147" i="1" s="1"/>
  <c r="F149" i="1"/>
  <c r="H149" i="1" s="1"/>
  <c r="H81" i="1"/>
  <c r="F138" i="1"/>
  <c r="H138" i="1" s="1"/>
  <c r="I138" i="1" s="1"/>
  <c r="I19" i="1"/>
  <c r="F142" i="1"/>
  <c r="H142" i="1" s="1"/>
  <c r="F65" i="1"/>
  <c r="H64" i="1"/>
  <c r="F63" i="1"/>
  <c r="F62" i="1"/>
  <c r="F68" i="1"/>
  <c r="H68" i="1" s="1"/>
  <c r="H186" i="1"/>
  <c r="I186" i="1" s="1"/>
  <c r="F175" i="1"/>
  <c r="H175" i="1" s="1"/>
  <c r="F80" i="1"/>
  <c r="H80" i="1" s="1"/>
  <c r="H74" i="1" l="1"/>
  <c r="I74" i="1" s="1"/>
  <c r="I6" i="1"/>
  <c r="I108" i="1"/>
  <c r="I134" i="1"/>
  <c r="H62" i="1"/>
  <c r="I62" i="1" s="1"/>
  <c r="H65" i="1"/>
  <c r="I65" i="1" s="1"/>
  <c r="H63" i="1"/>
  <c r="I63" i="1" s="1"/>
  <c r="I64" i="1"/>
  <c r="F50" i="1"/>
  <c r="H50" i="1" s="1"/>
  <c r="F166" i="1"/>
  <c r="H166" i="1" s="1"/>
  <c r="I166" i="1" s="1"/>
  <c r="I80" i="1"/>
  <c r="F46" i="1"/>
  <c r="H46" i="1" s="1"/>
  <c r="F148" i="1"/>
  <c r="H148" i="1" s="1"/>
  <c r="F128" i="1"/>
  <c r="H128" i="1" s="1"/>
  <c r="F151" i="1"/>
  <c r="H151" i="1" s="1"/>
  <c r="I15" i="1" l="1"/>
  <c r="H196" i="1"/>
  <c r="I196" i="1" s="1"/>
  <c r="F164" i="1"/>
  <c r="H164" i="1" s="1"/>
  <c r="F165" i="1"/>
  <c r="H165" i="1" s="1"/>
  <c r="I165" i="1" s="1"/>
  <c r="F126" i="1"/>
  <c r="F122" i="1"/>
  <c r="H122" i="1" s="1"/>
  <c r="F117" i="1"/>
  <c r="H117" i="1" s="1"/>
  <c r="F118" i="1"/>
  <c r="H118" i="1" s="1"/>
  <c r="F111" i="1"/>
  <c r="H111" i="1" s="1"/>
  <c r="H125" i="1"/>
  <c r="F129" i="1"/>
  <c r="H129" i="1" l="1"/>
  <c r="I129" i="1" s="1"/>
  <c r="H126" i="1"/>
  <c r="I126" i="1" s="1"/>
  <c r="I125" i="1"/>
  <c r="F42" i="1"/>
  <c r="H42" i="1" s="1"/>
  <c r="I50" i="1"/>
  <c r="H199" i="1"/>
  <c r="I199" i="1" s="1"/>
  <c r="F92" i="1"/>
  <c r="H157" i="1"/>
  <c r="H121" i="1"/>
  <c r="F95" i="1"/>
  <c r="H95" i="1" s="1"/>
  <c r="F168" i="1"/>
  <c r="H168" i="1" s="1"/>
  <c r="F89" i="1"/>
  <c r="H89" i="1" s="1"/>
  <c r="H83" i="1"/>
  <c r="F82" i="1"/>
  <c r="H82" i="1" s="1"/>
  <c r="H92" i="1" l="1"/>
  <c r="I92" i="1" s="1"/>
  <c r="I121" i="1"/>
  <c r="F198" i="1"/>
  <c r="F116" i="1"/>
  <c r="H116" i="1" s="1"/>
  <c r="F115" i="1"/>
  <c r="H115" i="1" s="1"/>
  <c r="F124" i="1"/>
  <c r="H124" i="1" s="1"/>
  <c r="I124" i="1" l="1"/>
  <c r="H198" i="1"/>
  <c r="I198" i="1" s="1"/>
  <c r="I21" i="1"/>
  <c r="F193" i="1"/>
  <c r="H193" i="1" s="1"/>
  <c r="I122" i="1"/>
  <c r="H57" i="1"/>
  <c r="H24" i="1"/>
  <c r="I24" i="1" s="1"/>
  <c r="F190" i="1"/>
  <c r="F59" i="1"/>
  <c r="H59" i="1" s="1"/>
  <c r="F58" i="1"/>
  <c r="H58" i="1" s="1"/>
  <c r="I58" i="1" s="1"/>
  <c r="H143" i="1"/>
  <c r="I143" i="1" s="1"/>
  <c r="F136" i="1"/>
  <c r="I151" i="1"/>
  <c r="H61" i="1"/>
  <c r="I61" i="1" s="1"/>
  <c r="F60" i="1"/>
  <c r="H60" i="1" s="1"/>
  <c r="I60" i="1" s="1"/>
  <c r="H45" i="1"/>
  <c r="H44" i="1"/>
  <c r="F43" i="1"/>
  <c r="H43" i="1" s="1"/>
  <c r="F67" i="1"/>
  <c r="H67" i="1" s="1"/>
  <c r="F66" i="1"/>
  <c r="H66" i="1" s="1"/>
  <c r="H69" i="1"/>
  <c r="F167" i="1"/>
  <c r="H167" i="1" s="1"/>
  <c r="I142" i="1"/>
  <c r="F27" i="1"/>
  <c r="H27" i="1" s="1"/>
  <c r="F194" i="1"/>
  <c r="H194" i="1" s="1"/>
  <c r="F197" i="1"/>
  <c r="H197" i="1" s="1"/>
  <c r="F54" i="1"/>
  <c r="H54" i="1" s="1"/>
  <c r="I168" i="1"/>
  <c r="I66" i="1" l="1"/>
  <c r="H136" i="1"/>
  <c r="I136" i="1" s="1"/>
  <c r="I145" i="1" s="1"/>
  <c r="I27" i="1"/>
  <c r="I57" i="1"/>
  <c r="I59" i="1"/>
  <c r="I193" i="1"/>
  <c r="I157" i="1" l="1"/>
  <c r="I164" i="1"/>
  <c r="I70" i="1"/>
  <c r="I69" i="1"/>
  <c r="I68" i="1"/>
  <c r="I51" i="1"/>
  <c r="I67" i="1"/>
  <c r="I46" i="1"/>
  <c r="I47" i="1"/>
  <c r="I45" i="1"/>
  <c r="I44" i="1"/>
  <c r="I43" i="1"/>
  <c r="I54" i="1"/>
  <c r="I29" i="1"/>
  <c r="I40" i="1" s="1"/>
  <c r="I148" i="1"/>
  <c r="I118" i="1"/>
  <c r="I117" i="1"/>
  <c r="I116" i="1"/>
  <c r="I115" i="1"/>
  <c r="I111" i="1"/>
  <c r="I147" i="1"/>
  <c r="I194" i="1" l="1"/>
  <c r="I42" i="1"/>
  <c r="I77" i="1" s="1"/>
  <c r="I89" i="1"/>
  <c r="I95" i="1" l="1"/>
  <c r="I149" i="1"/>
  <c r="I155" i="1" s="1"/>
  <c r="I167" i="1"/>
  <c r="I197" i="1" l="1"/>
  <c r="I128" i="1"/>
  <c r="I132" i="1" s="1"/>
  <c r="I175" i="1"/>
  <c r="I172" i="1" l="1"/>
  <c r="I187" i="1"/>
  <c r="I188" i="1" s="1"/>
  <c r="I81" i="1" l="1"/>
  <c r="I83" i="1" l="1"/>
  <c r="I82" i="1"/>
  <c r="I169" i="1"/>
  <c r="I173" i="1" s="1"/>
  <c r="I106" i="1" l="1"/>
  <c r="I192" i="1"/>
  <c r="I190" i="1"/>
  <c r="I179" i="1"/>
  <c r="I183" i="1" s="1"/>
  <c r="I176" i="1"/>
  <c r="I177" i="1" s="1"/>
  <c r="I202" i="1" l="1"/>
</calcChain>
</file>

<file path=xl/sharedStrings.xml><?xml version="1.0" encoding="utf-8"?>
<sst xmlns="http://schemas.openxmlformats.org/spreadsheetml/2006/main" count="775" uniqueCount="273">
  <si>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</si>
  <si>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</si>
  <si>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</si>
  <si>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</si>
  <si>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</si>
  <si>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</si>
  <si>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</si>
  <si>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</si>
  <si>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</si>
  <si>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</si>
  <si>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</si>
  <si>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</si>
  <si>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</si>
  <si>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</si>
  <si>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</si>
  <si>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</si>
  <si>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</si>
  <si>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</si>
  <si>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</si>
  <si>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</si>
  <si>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</si>
  <si>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</si>
  <si>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</si>
  <si>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</si>
  <si>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</si>
  <si>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</si>
  <si>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</si>
  <si>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</si>
  <si>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</si>
  <si>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</si>
  <si>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</si>
  <si>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</si>
  <si>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</si>
  <si>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</si>
  <si>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</si>
  <si>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</si>
  <si>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</si>
  <si>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</si>
  <si>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</si>
  <si>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</si>
  <si>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</si>
  <si>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</si>
  <si>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</si>
  <si>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</si>
  <si>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</si>
  <si>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</si>
  <si>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</si>
  <si>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</si>
  <si>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</si>
  <si>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</si>
  <si>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</si>
  <si>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</si>
  <si>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</si>
  <si>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</si>
  <si>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</si>
  <si>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</si>
  <si>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</si>
  <si>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</si>
  <si>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</si>
  <si>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</si>
  <si>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</si>
  <si>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</si>
  <si>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</si>
  <si>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</si>
  <si>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</si>
  <si>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</si>
  <si>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</si>
  <si>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</si>
  <si>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</si>
  <si>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</si>
  <si>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</si>
  <si>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</si>
  <si>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</si>
  <si>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</si>
  <si>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</si>
  <si>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</si>
  <si>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</si>
  <si>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</si>
  <si>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</si>
  <si>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</si>
  <si>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</si>
  <si>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</si>
  <si>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</si>
  <si>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</si>
  <si>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</si>
  <si>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</si>
  <si>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</si>
  <si>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</si>
  <si>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</si>
  <si>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</si>
  <si>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</si>
  <si>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</si>
  <si>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</si>
  <si>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</si>
  <si>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</si>
  <si>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</si>
  <si>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</si>
  <si>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</si>
  <si>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</si>
  <si>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</si>
  <si>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</si>
  <si>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</si>
  <si>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</si>
  <si>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</si>
  <si>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</si>
  <si>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</si>
  <si>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</si>
  <si>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</si>
  <si>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</si>
  <si>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</si>
  <si>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</si>
  <si>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</si>
  <si>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</si>
  <si>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</si>
  <si>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</si>
  <si>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</si>
  <si>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</si>
  <si>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</si>
  <si>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</si>
  <si>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</si>
  <si>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</si>
  <si>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</si>
  <si>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</si>
  <si>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</si>
  <si>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</si>
  <si>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</si>
  <si>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</si>
  <si>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</si>
  <si>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</si>
  <si>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</si>
  <si>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</si>
  <si>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</si>
  <si>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</si>
  <si>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</si>
  <si>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</si>
  <si>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</si>
  <si>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</si>
  <si>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</si>
  <si>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</si>
  <si>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</si>
  <si>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</si>
  <si>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</si>
  <si>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</si>
  <si>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</si>
  <si>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</si>
  <si>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</si>
  <si>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</si>
  <si>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</si>
  <si>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</si>
  <si>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</si>
  <si>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</si>
  <si>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</si>
  <si>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</si>
  <si>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</si>
  <si>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</si>
  <si>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</si>
  <si>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</si>
  <si>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</si>
  <si>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</si>
  <si>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</si>
  <si>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</si>
  <si>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</si>
  <si>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</si>
  <si>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</si>
  <si>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</si>
  <si>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</si>
  <si>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</si>
  <si>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</si>
  <si>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</si>
  <si>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</si>
  <si>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</si>
  <si>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</si>
  <si>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</si>
  <si>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</si>
  <si>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</si>
  <si>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</si>
  <si>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</si>
  <si>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</si>
  <si>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</si>
  <si>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</si>
  <si>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</si>
  <si>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прочистка фильтров диам. 50мм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</si>
  <si>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</si>
  <si>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</si>
  <si>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</si>
  <si>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</si>
  <si>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</si>
  <si>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</si>
  <si>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</si>
  <si>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</si>
  <si>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</si>
  <si>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</si>
  <si>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смена выключателей</t>
  </si>
  <si>
    <t>установка насосов погружных</t>
  </si>
  <si>
    <t>смена шарового крана смывного бачка</t>
  </si>
  <si>
    <t>регулировка смывного бачка</t>
  </si>
  <si>
    <t>прокладка внутренних трубпроводов водоснабжения и отопления из полипропиленовых труб:диам. 40мм</t>
  </si>
  <si>
    <t>установка информационного щита</t>
  </si>
  <si>
    <t>смена электросчетчиков</t>
  </si>
  <si>
    <t xml:space="preserve">простая масляная окраска ранее окрашенных бордюров </t>
  </si>
  <si>
    <t>прочистка клапанов обратных на трубопроводах стальных диам. 50мм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</si>
  <si>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</si>
  <si>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задвижек диам.80 мм на шаровые краны</t>
  </si>
  <si>
    <t>смена задвижек диам.100 мм на шаровые краны</t>
  </si>
  <si>
    <t>смена задвижек диам.50 мм на шаровые краны</t>
  </si>
  <si>
    <t>ремонт и окраска окон (восстановление фурнитуры и остекления) ручки</t>
  </si>
  <si>
    <t>ремонт и восстановление уплотнения стыков прокладками ПРП в 1 ряд в стенах, насухо</t>
  </si>
  <si>
    <t>ремонт и окраска дверей (восстановление фурнитуры и остекления) ручки-скобы</t>
  </si>
  <si>
    <t>герметизация шва</t>
  </si>
  <si>
    <t xml:space="preserve">утепление фасада </t>
  </si>
  <si>
    <t>смена ламп люминесцентных</t>
  </si>
  <si>
    <t>ремонт групповых щитков на лестничной клетке без ремонта автоматов</t>
  </si>
  <si>
    <t>установка грязевиков наружным диам. патрубков до 89мм после прочистки</t>
  </si>
  <si>
    <t>демонтаж кранов воздушных</t>
  </si>
  <si>
    <t>установка кранов воздушных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</si>
  <si>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</si>
  <si>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прокладка внутренних трубпроводов водоснабжения и отопления из полипропиленовых труб:диам. 25мм</t>
  </si>
  <si>
    <t>разборка трубопроводов из водогазпроводных труб диам свыше 40 до 50мм</t>
  </si>
  <si>
    <t>окраска масляными составами ранее окрашенных больших металлических поверхностей(кроме крыш) за один раз</t>
  </si>
  <si>
    <t>установка элеваторов после прочистки</t>
  </si>
  <si>
    <t>окраска масляными составами ранее окрашенных больших металлических поверхностей(кроме крыш) за 2 раза</t>
  </si>
  <si>
    <t>ремонт дверных полотен со сменой брусков обвязки горизонтальных на 2 сопряжения верхних</t>
  </si>
  <si>
    <t>бруска</t>
  </si>
  <si>
    <t>установка дверного доводчика</t>
  </si>
  <si>
    <t>установка блоков в наружных и внутренних дверных проемах в каменных стенах, площадь проема до 3м2</t>
  </si>
  <si>
    <t>обивка дверей кровельной сталью:взакрой</t>
  </si>
  <si>
    <t>облицовка лестничных площадок и маршей керамогранитными плитами</t>
  </si>
  <si>
    <t>ремонт металлических ограждений мелкий</t>
  </si>
  <si>
    <t>смена выключателей нагрузки</t>
  </si>
  <si>
    <t>3,4 квартал</t>
  </si>
  <si>
    <t>2,3 квартал</t>
  </si>
  <si>
    <t>Всего</t>
  </si>
  <si>
    <t xml:space="preserve">
Отчет о выполнении работ по текущему ремонту общего имущества 
в многоквартирном доме по адресу: г.Щёлково, 1 Советский переулок, дом 5а  на 2023 г.
</t>
  </si>
  <si>
    <t>водоотлив из подвала электрическими насосами</t>
  </si>
  <si>
    <t>простая масляная окраска ранее окрашенных фасадов без подготовки с расчисткой строй краски до 10% с земли и лесов</t>
  </si>
  <si>
    <t>улучшенная масляная окраска ранее окрашенных дверей за один раз с расчисткой старой краски до 10%</t>
  </si>
  <si>
    <t>окраска масляными составами ранее окрашенных металлических решеток и оград без рельефа за 1 раз</t>
  </si>
  <si>
    <t>ремонт бетонных ступеней и пандусов</t>
  </si>
  <si>
    <t>смена вентилей и клапанов обратных муфтовых диаметром до 32мм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</si>
  <si>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</si>
  <si>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</si>
  <si>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разборка покрытий полов из керамогранитных плит</t>
  </si>
  <si>
    <t>демонтаж пандуса</t>
  </si>
  <si>
    <t>монтаж пандуса</t>
  </si>
  <si>
    <t>снятие дверных полотен</t>
  </si>
  <si>
    <t>установка дверных полотен наружных кроме балконных</t>
  </si>
  <si>
    <t>смена дверных приборов петли</t>
  </si>
  <si>
    <t>разборка кирпичных перегородок на отдельные кирпичи</t>
  </si>
  <si>
    <t>разборка деревянных перегородок чистых щитовых дощатых</t>
  </si>
  <si>
    <t>врезка в действующие сети трубопроводов отопления и водоснабжения диам. 50мм</t>
  </si>
  <si>
    <t>1квартал</t>
  </si>
  <si>
    <t>смена задвижек на шаровые краны диам. 50мм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</si>
  <si>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</si>
  <si>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стен</t>
  </si>
  <si>
    <t>установка люков сантехнических</t>
  </si>
  <si>
    <t>смена внутренних трубопроводов из стальных труб диам. 32мм</t>
  </si>
  <si>
    <t xml:space="preserve"> смена кранов на шаровые краны диам15,25,32мм</t>
  </si>
  <si>
    <t>пластиковый забор</t>
  </si>
  <si>
    <t>справка о техническом состоянии здания</t>
  </si>
  <si>
    <t>смена внутренних трубопроводов из стальных труб диам. 50мм</t>
  </si>
  <si>
    <t>установка розетки</t>
  </si>
  <si>
    <t>кронирование деревьев в количестве 3шт,удаление деревьев 3шт.обрезка ветвей дерева</t>
  </si>
  <si>
    <t>проверка на прогрев отопительных приборов с регулировкой</t>
  </si>
  <si>
    <t>Изготовление и установка тамбурных дверей ПВХ подъезд №3,4,1,2,5</t>
  </si>
  <si>
    <t>короба пластмассовые шириной до 40мм</t>
  </si>
  <si>
    <t>замена шарового крана кв 25</t>
  </si>
  <si>
    <t>монтаж легких конструкций решеток</t>
  </si>
  <si>
    <t>ремонт штукатурки внутренних стен по камню</t>
  </si>
  <si>
    <t>окрашивание водоэмульсионными составами поверхностей потолков , ранее окрашенных с расчисткой старой краски до 35%</t>
  </si>
  <si>
    <t>окрашивание водоэмульсионными составами поверхностей стен , ранее окрашенных с расчисткой старой краски до 35%</t>
  </si>
  <si>
    <t>ремонт штукатурки откосов внутри здания</t>
  </si>
  <si>
    <t>окраска огрунтованных бетонных и оштукатуренных поверхностей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</si>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</sst>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topLeftCell="A104" zoomScale="91" zoomScaleNormal="91" workbookViewId="0">
      <selection activeCell="I206" sqref="I206:I20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9.28515625" style="1" bestFit="1" customWidth="1"/>
    <col min="13" max="16384" width="8.85546875" style="1"/>
  </cols>
  <sheetData>
    <row r="1" spans="1:12" ht="51.75" customHeight="1" x14ac:dyDescent="0.25">
      <c r="I1" s="67" t="s">
        <v>97</v>
      </c>
      <c r="J1" s="67"/>
    </row>
    <row r="2" spans="1:12" ht="70.5" customHeight="1" x14ac:dyDescent="0.25">
      <c r="A2" s="62" t="s">
        <v>232</v>
      </c>
      <c r="B2" s="63"/>
      <c r="C2" s="63"/>
      <c r="D2" s="63"/>
      <c r="E2" s="63"/>
      <c r="F2" s="63"/>
      <c r="G2" s="63"/>
      <c r="H2" s="63"/>
      <c r="I2" s="63"/>
      <c r="J2" s="63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68" t="s">
        <v>88</v>
      </c>
      <c r="B4" s="69"/>
      <c r="C4" s="69"/>
      <c r="D4" s="69"/>
      <c r="E4" s="69"/>
      <c r="F4" s="69"/>
      <c r="G4" s="70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191</v>
      </c>
      <c r="E5" s="40" t="s">
        <v>141</v>
      </c>
      <c r="F5" s="40" t="s">
        <v>141</v>
      </c>
      <c r="G5" s="13" t="s">
        <v>113</v>
      </c>
      <c r="H5" s="40" t="s">
        <v>141</v>
      </c>
      <c r="I5" s="40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120</v>
      </c>
      <c r="E6" s="40" t="s">
        <v>141</v>
      </c>
      <c r="F6" s="40">
        <f>4</f>
        <v>4</v>
      </c>
      <c r="G6" s="13" t="s">
        <v>113</v>
      </c>
      <c r="H6" s="40">
        <f>(136.8+72.6)/F6</f>
        <v>52.35</v>
      </c>
      <c r="I6" s="54">
        <f>F6*H6</f>
        <v>209.4</v>
      </c>
      <c r="J6" s="13" t="s">
        <v>121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156</v>
      </c>
      <c r="E7" s="40" t="s">
        <v>141</v>
      </c>
      <c r="F7" s="40" t="s">
        <v>141</v>
      </c>
      <c r="G7" s="13" t="s">
        <v>30</v>
      </c>
      <c r="H7" s="40" t="s">
        <v>141</v>
      </c>
      <c r="I7" s="40" t="s">
        <v>141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0" t="s">
        <v>141</v>
      </c>
      <c r="F8" s="40" t="s">
        <v>141</v>
      </c>
      <c r="G8" s="13" t="s">
        <v>30</v>
      </c>
      <c r="H8" s="40" t="s">
        <v>141</v>
      </c>
      <c r="I8" s="40" t="s">
        <v>141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0" t="s">
        <v>141</v>
      </c>
      <c r="F9" s="40" t="s">
        <v>141</v>
      </c>
      <c r="G9" s="13" t="s">
        <v>30</v>
      </c>
      <c r="H9" s="40" t="s">
        <v>141</v>
      </c>
      <c r="I9" s="40" t="s">
        <v>141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0" t="s">
        <v>141</v>
      </c>
      <c r="F10" s="40" t="s">
        <v>141</v>
      </c>
      <c r="G10" s="13" t="s">
        <v>30</v>
      </c>
      <c r="H10" s="40" t="s">
        <v>141</v>
      </c>
      <c r="I10" s="40" t="s">
        <v>141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0"/>
      <c r="F11" s="40"/>
      <c r="G11" s="13" t="s">
        <v>31</v>
      </c>
      <c r="H11" s="40"/>
      <c r="I11" s="40"/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0" t="s">
        <v>141</v>
      </c>
      <c r="F12" s="40" t="s">
        <v>141</v>
      </c>
      <c r="G12" s="14" t="s">
        <v>31</v>
      </c>
      <c r="H12" s="40" t="s">
        <v>141</v>
      </c>
      <c r="I12" s="40" t="s">
        <v>141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0" t="s">
        <v>141</v>
      </c>
      <c r="F13" s="40" t="s">
        <v>141</v>
      </c>
      <c r="G13" s="13" t="s">
        <v>30</v>
      </c>
      <c r="H13" s="40" t="s">
        <v>141</v>
      </c>
      <c r="I13" s="40" t="s">
        <v>141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0" t="s">
        <v>141</v>
      </c>
      <c r="F14" s="40" t="s">
        <v>141</v>
      </c>
      <c r="G14" s="13" t="s">
        <v>30</v>
      </c>
      <c r="H14" s="40" t="s">
        <v>141</v>
      </c>
      <c r="I14" s="40" t="s">
        <v>141</v>
      </c>
      <c r="J14" s="13"/>
      <c r="K14" s="2"/>
      <c r="L14" s="2"/>
    </row>
    <row r="15" spans="1:12" ht="27" customHeight="1" x14ac:dyDescent="0.3">
      <c r="A15" s="27"/>
      <c r="B15" s="22"/>
      <c r="C15" s="22"/>
      <c r="D15" s="29"/>
      <c r="E15" s="44"/>
      <c r="F15" s="44"/>
      <c r="G15" s="30"/>
      <c r="H15" s="40"/>
      <c r="I15" s="43">
        <f>SUM(I6:I14)</f>
        <v>209.4</v>
      </c>
      <c r="J15" s="13"/>
      <c r="K15" s="2"/>
      <c r="L15" s="2"/>
    </row>
    <row r="16" spans="1:12" ht="18.75" x14ac:dyDescent="0.3">
      <c r="A16" s="68" t="s">
        <v>56</v>
      </c>
      <c r="B16" s="69"/>
      <c r="C16" s="69"/>
      <c r="D16" s="69"/>
      <c r="E16" s="69"/>
      <c r="F16" s="69"/>
      <c r="G16" s="70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0" t="s">
        <v>141</v>
      </c>
      <c r="F17" s="40" t="s">
        <v>141</v>
      </c>
      <c r="G17" s="14" t="s">
        <v>54</v>
      </c>
      <c r="H17" s="40" t="s">
        <v>141</v>
      </c>
      <c r="I17" s="40" t="s">
        <v>141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0" t="s">
        <v>141</v>
      </c>
      <c r="F18" s="40" t="s">
        <v>141</v>
      </c>
      <c r="G18" s="14" t="s">
        <v>53</v>
      </c>
      <c r="H18" s="40" t="s">
        <v>141</v>
      </c>
      <c r="I18" s="40" t="s">
        <v>141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0"/>
      <c r="F19" s="40"/>
      <c r="G19" s="14" t="s">
        <v>53</v>
      </c>
      <c r="H19" s="40"/>
      <c r="I19" s="40">
        <f>F19*H19</f>
        <v>0</v>
      </c>
      <c r="J19" s="13" t="s">
        <v>118</v>
      </c>
      <c r="K19" s="2"/>
      <c r="L19" s="2"/>
    </row>
    <row r="20" spans="1:12" ht="32.25" x14ac:dyDescent="0.3">
      <c r="A20" s="6"/>
      <c r="B20" s="5"/>
      <c r="C20" s="4"/>
      <c r="D20" s="15" t="s">
        <v>169</v>
      </c>
      <c r="E20" s="40" t="s">
        <v>141</v>
      </c>
      <c r="F20" s="40" t="s">
        <v>141</v>
      </c>
      <c r="G20" s="14" t="s">
        <v>90</v>
      </c>
      <c r="H20" s="40" t="s">
        <v>141</v>
      </c>
      <c r="I20" s="40" t="s">
        <v>141</v>
      </c>
      <c r="J20" s="13"/>
      <c r="K20" s="2"/>
      <c r="L20" s="2"/>
    </row>
    <row r="21" spans="1:12" ht="48" x14ac:dyDescent="0.3">
      <c r="A21" s="6"/>
      <c r="B21" s="5"/>
      <c r="C21" s="4"/>
      <c r="D21" s="15" t="s">
        <v>234</v>
      </c>
      <c r="E21" s="40"/>
      <c r="F21" s="40">
        <f>102+8</f>
        <v>110</v>
      </c>
      <c r="G21" s="13" t="s">
        <v>113</v>
      </c>
      <c r="H21" s="43">
        <f>(15501.8+1281.6)/F21</f>
        <v>152.57636363636362</v>
      </c>
      <c r="I21" s="54">
        <f>F21*H21</f>
        <v>16783.399999999998</v>
      </c>
      <c r="J21" s="13" t="s">
        <v>123</v>
      </c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0" t="s">
        <v>141</v>
      </c>
      <c r="F22" s="40" t="s">
        <v>141</v>
      </c>
      <c r="G22" s="14" t="s">
        <v>53</v>
      </c>
      <c r="H22" s="40" t="s">
        <v>141</v>
      </c>
      <c r="I22" s="40" t="s">
        <v>141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0" t="s">
        <v>141</v>
      </c>
      <c r="F23" s="40" t="s">
        <v>141</v>
      </c>
      <c r="G23" s="14" t="s">
        <v>53</v>
      </c>
      <c r="H23" s="40" t="s">
        <v>141</v>
      </c>
      <c r="I23" s="40" t="s">
        <v>141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146</v>
      </c>
      <c r="E24" s="40" t="s">
        <v>141</v>
      </c>
      <c r="F24" s="40">
        <v>9</v>
      </c>
      <c r="G24" s="14" t="s">
        <v>147</v>
      </c>
      <c r="H24" s="43">
        <f>1633.6/F24</f>
        <v>181.51111111111109</v>
      </c>
      <c r="I24" s="54">
        <f>F24*H24</f>
        <v>1633.6</v>
      </c>
      <c r="J24" s="13" t="s">
        <v>150</v>
      </c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0" t="s">
        <v>141</v>
      </c>
      <c r="F25" s="40" t="s">
        <v>141</v>
      </c>
      <c r="G25" s="13" t="s">
        <v>30</v>
      </c>
      <c r="H25" s="40" t="s">
        <v>141</v>
      </c>
      <c r="I25" s="40" t="s">
        <v>141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0" t="s">
        <v>141</v>
      </c>
      <c r="F26" s="40" t="s">
        <v>141</v>
      </c>
      <c r="G26" s="14" t="s">
        <v>53</v>
      </c>
      <c r="H26" s="40" t="s">
        <v>141</v>
      </c>
      <c r="I26" s="40" t="s">
        <v>141</v>
      </c>
      <c r="J26" s="13"/>
      <c r="K26" s="2"/>
      <c r="L26" s="2"/>
    </row>
    <row r="27" spans="1:12" ht="24.75" customHeight="1" x14ac:dyDescent="0.3">
      <c r="A27" s="6"/>
      <c r="B27" s="5"/>
      <c r="C27" s="4"/>
      <c r="D27" s="15" t="s">
        <v>237</v>
      </c>
      <c r="E27" s="40" t="s">
        <v>141</v>
      </c>
      <c r="F27" s="40">
        <f>5</f>
        <v>5</v>
      </c>
      <c r="G27" s="14" t="s">
        <v>31</v>
      </c>
      <c r="H27" s="40">
        <f>7573.2/F27</f>
        <v>1514.6399999999999</v>
      </c>
      <c r="I27" s="54">
        <f>F27*H27</f>
        <v>7573.1999999999989</v>
      </c>
      <c r="J27" s="13" t="s">
        <v>123</v>
      </c>
      <c r="K27" s="2"/>
      <c r="L27" s="2"/>
    </row>
    <row r="28" spans="1:12" ht="18.75" x14ac:dyDescent="0.3">
      <c r="A28" s="6" t="s">
        <v>55</v>
      </c>
      <c r="B28" s="5"/>
      <c r="C28" s="4"/>
      <c r="D28" s="15" t="s">
        <v>189</v>
      </c>
      <c r="E28" s="40" t="s">
        <v>141</v>
      </c>
      <c r="F28" s="40" t="s">
        <v>141</v>
      </c>
      <c r="G28" s="14" t="s">
        <v>30</v>
      </c>
      <c r="H28" s="40" t="s">
        <v>141</v>
      </c>
      <c r="I28" s="40" t="s">
        <v>141</v>
      </c>
      <c r="J28" s="13"/>
      <c r="L28" s="2"/>
    </row>
    <row r="29" spans="1:12" ht="48" x14ac:dyDescent="0.3">
      <c r="A29" s="6"/>
      <c r="B29" s="5"/>
      <c r="C29" s="4"/>
      <c r="D29" s="15" t="s">
        <v>234</v>
      </c>
      <c r="E29" s="40"/>
      <c r="F29" s="40">
        <f>2</f>
        <v>2</v>
      </c>
      <c r="G29" s="13" t="s">
        <v>113</v>
      </c>
      <c r="H29" s="40">
        <f>(305.6)/F29</f>
        <v>152.80000000000001</v>
      </c>
      <c r="I29" s="54">
        <f>F29*H29</f>
        <v>305.60000000000002</v>
      </c>
      <c r="J29" s="13" t="s">
        <v>116</v>
      </c>
      <c r="L29" s="2"/>
    </row>
    <row r="30" spans="1:12" ht="32.25" x14ac:dyDescent="0.3">
      <c r="A30" s="6" t="s">
        <v>57</v>
      </c>
      <c r="B30" s="5"/>
      <c r="C30" s="4"/>
      <c r="D30" s="15" t="s">
        <v>95</v>
      </c>
      <c r="E30" s="40" t="s">
        <v>141</v>
      </c>
      <c r="F30" s="40" t="s">
        <v>141</v>
      </c>
      <c r="G30" s="14" t="s">
        <v>53</v>
      </c>
      <c r="H30" s="40" t="s">
        <v>141</v>
      </c>
      <c r="I30" s="40" t="s">
        <v>141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94</v>
      </c>
      <c r="E31" s="40" t="s">
        <v>141</v>
      </c>
      <c r="F31" s="40" t="s">
        <v>141</v>
      </c>
      <c r="G31" s="14" t="s">
        <v>54</v>
      </c>
      <c r="H31" s="40" t="s">
        <v>141</v>
      </c>
      <c r="I31" s="40" t="s">
        <v>141</v>
      </c>
      <c r="J31" s="13"/>
      <c r="L31" s="2"/>
    </row>
    <row r="32" spans="1:12" ht="18.75" x14ac:dyDescent="0.3">
      <c r="A32" s="6"/>
      <c r="B32" s="5"/>
      <c r="C32" s="4"/>
      <c r="D32" s="15"/>
      <c r="E32" s="40"/>
      <c r="F32" s="40"/>
      <c r="G32" s="14"/>
      <c r="H32" s="40"/>
      <c r="I32" s="40"/>
      <c r="J32" s="13"/>
      <c r="L32" s="2"/>
    </row>
    <row r="33" spans="1:12" ht="18.75" x14ac:dyDescent="0.3">
      <c r="A33" s="6" t="s">
        <v>15</v>
      </c>
      <c r="B33" s="5"/>
      <c r="C33" s="4"/>
      <c r="D33" s="4" t="s">
        <v>43</v>
      </c>
      <c r="E33" s="40" t="s">
        <v>141</v>
      </c>
      <c r="F33" s="40" t="s">
        <v>141</v>
      </c>
      <c r="G33" s="14" t="s">
        <v>147</v>
      </c>
      <c r="H33" s="40" t="s">
        <v>141</v>
      </c>
      <c r="I33" s="40" t="s">
        <v>141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44</v>
      </c>
      <c r="E34" s="40" t="s">
        <v>141</v>
      </c>
      <c r="F34" s="40" t="s">
        <v>141</v>
      </c>
      <c r="G34" s="14" t="s">
        <v>53</v>
      </c>
      <c r="H34" s="40" t="s">
        <v>141</v>
      </c>
      <c r="I34" s="40" t="s">
        <v>141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45</v>
      </c>
      <c r="E35" s="40" t="s">
        <v>141</v>
      </c>
      <c r="F35" s="40" t="s">
        <v>141</v>
      </c>
      <c r="G35" s="13" t="s">
        <v>30</v>
      </c>
      <c r="H35" s="40" t="s">
        <v>141</v>
      </c>
      <c r="I35" s="40" t="s">
        <v>141</v>
      </c>
      <c r="J35" s="13"/>
      <c r="L35" s="2"/>
    </row>
    <row r="36" spans="1:12" ht="18.75" x14ac:dyDescent="0.3">
      <c r="A36" s="6"/>
      <c r="B36" s="5"/>
      <c r="C36" s="4"/>
      <c r="D36" s="4" t="s">
        <v>208</v>
      </c>
      <c r="E36" s="40" t="s">
        <v>141</v>
      </c>
      <c r="F36" s="40" t="s">
        <v>141</v>
      </c>
      <c r="G36" s="13" t="s">
        <v>145</v>
      </c>
      <c r="H36" s="40" t="s">
        <v>141</v>
      </c>
      <c r="I36" s="40" t="s">
        <v>141</v>
      </c>
      <c r="J36" s="13"/>
      <c r="L36" s="2"/>
    </row>
    <row r="37" spans="1:12" ht="32.25" x14ac:dyDescent="0.3">
      <c r="A37" s="6"/>
      <c r="B37" s="5"/>
      <c r="C37" s="4"/>
      <c r="D37" s="15" t="s">
        <v>190</v>
      </c>
      <c r="E37" s="40" t="s">
        <v>141</v>
      </c>
      <c r="F37" s="40" t="s">
        <v>141</v>
      </c>
      <c r="G37" s="14" t="s">
        <v>30</v>
      </c>
      <c r="H37" s="40" t="s">
        <v>141</v>
      </c>
      <c r="I37" s="40" t="s">
        <v>141</v>
      </c>
      <c r="J37" s="13"/>
      <c r="L37" s="2"/>
    </row>
    <row r="38" spans="1:12" ht="18.75" x14ac:dyDescent="0.3">
      <c r="A38" s="6"/>
      <c r="B38" s="5"/>
      <c r="C38" s="4"/>
      <c r="D38" s="15" t="s">
        <v>209</v>
      </c>
      <c r="E38" s="40" t="s">
        <v>141</v>
      </c>
      <c r="F38" s="40" t="s">
        <v>141</v>
      </c>
      <c r="G38" s="14" t="s">
        <v>145</v>
      </c>
      <c r="H38" s="40" t="s">
        <v>141</v>
      </c>
      <c r="I38" s="40" t="s">
        <v>141</v>
      </c>
      <c r="J38" s="13"/>
      <c r="L38" s="2"/>
    </row>
    <row r="39" spans="1:12" ht="18.75" x14ac:dyDescent="0.3">
      <c r="A39" s="6" t="s">
        <v>18</v>
      </c>
      <c r="B39" s="5"/>
      <c r="C39" s="4"/>
      <c r="D39" s="4" t="s">
        <v>46</v>
      </c>
      <c r="E39" s="40" t="s">
        <v>141</v>
      </c>
      <c r="F39" s="40" t="s">
        <v>141</v>
      </c>
      <c r="G39" s="14" t="s">
        <v>54</v>
      </c>
      <c r="H39" s="40" t="s">
        <v>141</v>
      </c>
      <c r="I39" s="40" t="s">
        <v>141</v>
      </c>
      <c r="J39" s="13"/>
      <c r="L39" s="2"/>
    </row>
    <row r="40" spans="1:12" ht="18.75" x14ac:dyDescent="0.3">
      <c r="A40" s="27"/>
      <c r="B40" s="22"/>
      <c r="C40" s="22"/>
      <c r="D40" s="22"/>
      <c r="E40" s="44"/>
      <c r="F40" s="44"/>
      <c r="G40" s="12"/>
      <c r="H40" s="40"/>
      <c r="I40" s="40">
        <f>SUM(I19:I39)</f>
        <v>26295.799999999996</v>
      </c>
      <c r="J40" s="13"/>
      <c r="L40" s="2"/>
    </row>
    <row r="41" spans="1:12" ht="24" customHeight="1" x14ac:dyDescent="0.3">
      <c r="A41" s="68" t="s">
        <v>86</v>
      </c>
      <c r="B41" s="69"/>
      <c r="C41" s="69"/>
      <c r="D41" s="69"/>
      <c r="E41" s="69"/>
      <c r="F41" s="69"/>
      <c r="G41" s="70"/>
      <c r="H41" s="14"/>
      <c r="I41" s="5"/>
      <c r="J41" s="13"/>
      <c r="L41" s="2"/>
    </row>
    <row r="42" spans="1:12" ht="32.25" customHeight="1" x14ac:dyDescent="0.3">
      <c r="A42" s="6" t="s">
        <v>50</v>
      </c>
      <c r="B42" s="5"/>
      <c r="C42" s="4"/>
      <c r="D42" s="15" t="s">
        <v>207</v>
      </c>
      <c r="E42" s="40"/>
      <c r="F42" s="40">
        <f>4</f>
        <v>4</v>
      </c>
      <c r="G42" s="37" t="s">
        <v>31</v>
      </c>
      <c r="H42" s="40">
        <f>1461.4/F42</f>
        <v>365.35</v>
      </c>
      <c r="I42" s="54">
        <f t="shared" ref="I42:I47" si="0">F42*H42</f>
        <v>1461.4</v>
      </c>
      <c r="J42" s="13" t="s">
        <v>124</v>
      </c>
      <c r="L42" s="2"/>
    </row>
    <row r="43" spans="1:12" ht="32.25" customHeight="1" x14ac:dyDescent="0.3">
      <c r="A43" s="6"/>
      <c r="B43" s="5"/>
      <c r="C43" s="4"/>
      <c r="D43" s="15" t="s">
        <v>244</v>
      </c>
      <c r="E43" s="40"/>
      <c r="F43" s="40">
        <f>2.5</f>
        <v>2.5</v>
      </c>
      <c r="G43" s="37" t="s">
        <v>113</v>
      </c>
      <c r="H43" s="40">
        <f>732.2/F43</f>
        <v>292.88</v>
      </c>
      <c r="I43" s="55">
        <f t="shared" si="0"/>
        <v>732.2</v>
      </c>
      <c r="J43" s="13" t="s">
        <v>124</v>
      </c>
      <c r="L43" s="2"/>
    </row>
    <row r="44" spans="1:12" ht="32.25" customHeight="1" x14ac:dyDescent="0.3">
      <c r="A44" s="6"/>
      <c r="B44" s="5"/>
      <c r="C44" s="4"/>
      <c r="D44" s="15" t="s">
        <v>245</v>
      </c>
      <c r="E44" s="40"/>
      <c r="F44" s="40">
        <v>1</v>
      </c>
      <c r="G44" s="37" t="s">
        <v>31</v>
      </c>
      <c r="H44" s="43">
        <f>2064.6/F44</f>
        <v>2064.6</v>
      </c>
      <c r="I44" s="54">
        <f t="shared" si="0"/>
        <v>2064.6</v>
      </c>
      <c r="J44" s="13" t="s">
        <v>124</v>
      </c>
      <c r="L44" s="2"/>
    </row>
    <row r="45" spans="1:12" ht="32.25" customHeight="1" x14ac:dyDescent="0.3">
      <c r="A45" s="6"/>
      <c r="B45" s="5"/>
      <c r="C45" s="4"/>
      <c r="D45" s="15" t="s">
        <v>246</v>
      </c>
      <c r="E45" s="40"/>
      <c r="F45" s="40">
        <v>1</v>
      </c>
      <c r="G45" s="13" t="s">
        <v>31</v>
      </c>
      <c r="H45" s="40">
        <f>937.2/F45</f>
        <v>937.2</v>
      </c>
      <c r="I45" s="54">
        <f t="shared" si="0"/>
        <v>937.2</v>
      </c>
      <c r="J45" s="13" t="s">
        <v>124</v>
      </c>
      <c r="L45" s="2"/>
    </row>
    <row r="46" spans="1:12" ht="32.25" customHeight="1" x14ac:dyDescent="0.3">
      <c r="A46" s="6"/>
      <c r="B46" s="5"/>
      <c r="C46" s="4"/>
      <c r="D46" s="15" t="s">
        <v>218</v>
      </c>
      <c r="E46" s="40"/>
      <c r="F46" s="40">
        <f>6+3.8+5.6</f>
        <v>15.4</v>
      </c>
      <c r="G46" s="13" t="s">
        <v>113</v>
      </c>
      <c r="H46" s="43">
        <f>(854+541.4+1285)/F46</f>
        <v>174.05194805194805</v>
      </c>
      <c r="I46" s="55">
        <f t="shared" si="0"/>
        <v>2680.4</v>
      </c>
      <c r="J46" s="13" t="s">
        <v>118</v>
      </c>
      <c r="L46" s="2"/>
    </row>
    <row r="47" spans="1:12" ht="32.25" customHeight="1" x14ac:dyDescent="0.3">
      <c r="A47" s="6"/>
      <c r="B47" s="5"/>
      <c r="C47" s="4"/>
      <c r="D47" s="15" t="s">
        <v>220</v>
      </c>
      <c r="E47" s="40"/>
      <c r="F47" s="40">
        <f>5.6+8.5</f>
        <v>14.1</v>
      </c>
      <c r="G47" s="13" t="s">
        <v>113</v>
      </c>
      <c r="H47" s="43">
        <f>(1105.4+1979.6)/F47</f>
        <v>218.79432624113477</v>
      </c>
      <c r="I47" s="54">
        <f t="shared" si="0"/>
        <v>3085</v>
      </c>
      <c r="J47" s="13" t="s">
        <v>118</v>
      </c>
      <c r="L47" s="2"/>
    </row>
    <row r="48" spans="1:12" ht="55.5" customHeight="1" x14ac:dyDescent="0.3">
      <c r="A48" s="6"/>
      <c r="B48" s="5"/>
      <c r="C48" s="4"/>
      <c r="D48" s="15" t="s">
        <v>221</v>
      </c>
      <c r="E48" s="40"/>
      <c r="F48" s="40"/>
      <c r="G48" s="13" t="s">
        <v>222</v>
      </c>
      <c r="H48" s="40"/>
      <c r="I48" s="40"/>
      <c r="J48" s="13"/>
      <c r="L48" s="2"/>
    </row>
    <row r="49" spans="1:12" ht="32.25" customHeight="1" x14ac:dyDescent="0.3">
      <c r="A49" s="6"/>
      <c r="B49" s="5"/>
      <c r="C49" s="4"/>
      <c r="D49" s="15" t="s">
        <v>206</v>
      </c>
      <c r="E49" s="40" t="s">
        <v>141</v>
      </c>
      <c r="F49" s="40" t="s">
        <v>141</v>
      </c>
      <c r="G49" s="13" t="s">
        <v>30</v>
      </c>
      <c r="H49" s="40" t="s">
        <v>141</v>
      </c>
      <c r="I49" s="40" t="s">
        <v>141</v>
      </c>
      <c r="J49" s="13"/>
      <c r="L49" s="2"/>
    </row>
    <row r="50" spans="1:12" ht="32.25" customHeight="1" x14ac:dyDescent="0.3">
      <c r="A50" s="6"/>
      <c r="B50" s="5"/>
      <c r="C50" s="4"/>
      <c r="D50" s="15" t="s">
        <v>263</v>
      </c>
      <c r="E50" s="40" t="s">
        <v>141</v>
      </c>
      <c r="F50" s="40">
        <f>2+2+1</f>
        <v>5</v>
      </c>
      <c r="G50" s="13" t="s">
        <v>31</v>
      </c>
      <c r="H50" s="40">
        <f>(151800+124000+65000)/F50</f>
        <v>68160</v>
      </c>
      <c r="I50" s="54">
        <f>F50*H50</f>
        <v>340800</v>
      </c>
      <c r="J50" s="13" t="s">
        <v>118</v>
      </c>
      <c r="L50" s="2"/>
    </row>
    <row r="51" spans="1:12" ht="32.25" customHeight="1" x14ac:dyDescent="0.3">
      <c r="A51" s="6"/>
      <c r="B51" s="5"/>
      <c r="C51" s="4"/>
      <c r="D51" s="15" t="s">
        <v>223</v>
      </c>
      <c r="E51" s="40"/>
      <c r="F51" s="40">
        <f>1+1</f>
        <v>2</v>
      </c>
      <c r="G51" s="13" t="s">
        <v>31</v>
      </c>
      <c r="H51" s="40">
        <f>(333+35570.2)/F51</f>
        <v>17951.599999999999</v>
      </c>
      <c r="I51" s="54">
        <f>F51*H51</f>
        <v>35903.199999999997</v>
      </c>
      <c r="J51" s="13" t="s">
        <v>121</v>
      </c>
      <c r="L51" s="2"/>
    </row>
    <row r="52" spans="1:12" ht="32.25" customHeight="1" x14ac:dyDescent="0.3">
      <c r="A52" s="6"/>
      <c r="B52" s="5"/>
      <c r="C52" s="4"/>
      <c r="D52" s="15" t="s">
        <v>224</v>
      </c>
      <c r="E52" s="40"/>
      <c r="F52" s="40"/>
      <c r="G52" s="13" t="s">
        <v>113</v>
      </c>
      <c r="H52" s="40"/>
      <c r="I52" s="43"/>
      <c r="J52" s="13"/>
      <c r="L52" s="2"/>
    </row>
    <row r="53" spans="1:12" ht="32.25" customHeight="1" x14ac:dyDescent="0.3">
      <c r="A53" s="6"/>
      <c r="B53" s="5"/>
      <c r="C53" s="4"/>
      <c r="D53" s="15" t="s">
        <v>225</v>
      </c>
      <c r="E53" s="40"/>
      <c r="F53" s="40"/>
      <c r="G53" s="13" t="s">
        <v>113</v>
      </c>
      <c r="H53" s="40"/>
      <c r="I53" s="43"/>
      <c r="J53" s="13"/>
      <c r="L53" s="2"/>
    </row>
    <row r="54" spans="1:12" ht="50.25" customHeight="1" x14ac:dyDescent="0.3">
      <c r="A54" s="6"/>
      <c r="B54" s="5"/>
      <c r="C54" s="4"/>
      <c r="D54" s="15" t="s">
        <v>235</v>
      </c>
      <c r="E54" s="40"/>
      <c r="F54" s="40">
        <f>6</f>
        <v>6</v>
      </c>
      <c r="G54" s="13" t="s">
        <v>113</v>
      </c>
      <c r="H54" s="43">
        <f>2222/F54</f>
        <v>370.33333333333331</v>
      </c>
      <c r="I54" s="54">
        <f>F54*H54</f>
        <v>2222</v>
      </c>
      <c r="J54" s="13" t="s">
        <v>121</v>
      </c>
      <c r="L54" s="2"/>
    </row>
    <row r="55" spans="1:12" ht="32.25" x14ac:dyDescent="0.3">
      <c r="A55" s="6" t="s">
        <v>51</v>
      </c>
      <c r="B55" s="5"/>
      <c r="C55" s="4"/>
      <c r="D55" s="15" t="s">
        <v>205</v>
      </c>
      <c r="E55" s="40" t="s">
        <v>141</v>
      </c>
      <c r="F55" s="40" t="s">
        <v>141</v>
      </c>
      <c r="G55" s="13" t="s">
        <v>54</v>
      </c>
      <c r="H55" s="40" t="s">
        <v>141</v>
      </c>
      <c r="I55" s="40" t="s">
        <v>141</v>
      </c>
      <c r="J55" s="13"/>
      <c r="L55" s="2"/>
    </row>
    <row r="56" spans="1:12" ht="32.25" x14ac:dyDescent="0.3">
      <c r="A56" s="6" t="s">
        <v>59</v>
      </c>
      <c r="B56" s="8"/>
      <c r="C56" s="4"/>
      <c r="D56" s="15" t="s">
        <v>47</v>
      </c>
      <c r="E56" s="40" t="s">
        <v>141</v>
      </c>
      <c r="F56" s="40" t="s">
        <v>141</v>
      </c>
      <c r="G56" s="14" t="s">
        <v>53</v>
      </c>
      <c r="H56" s="40" t="s">
        <v>141</v>
      </c>
      <c r="I56" s="40" t="s">
        <v>141</v>
      </c>
      <c r="J56" s="13"/>
      <c r="L56" s="2"/>
    </row>
    <row r="57" spans="1:12" ht="18.75" x14ac:dyDescent="0.3">
      <c r="A57" s="6"/>
      <c r="B57" s="8"/>
      <c r="C57" s="4"/>
      <c r="D57" s="15" t="s">
        <v>254</v>
      </c>
      <c r="E57" s="40"/>
      <c r="F57" s="40">
        <v>1</v>
      </c>
      <c r="G57" s="14" t="s">
        <v>31</v>
      </c>
      <c r="H57" s="43">
        <f>805.8/F57</f>
        <v>805.8</v>
      </c>
      <c r="I57" s="54">
        <f t="shared" ref="I57" si="1">F57*H57</f>
        <v>805.8</v>
      </c>
      <c r="J57" s="13" t="s">
        <v>150</v>
      </c>
      <c r="L57" s="2"/>
    </row>
    <row r="58" spans="1:12" ht="32.25" x14ac:dyDescent="0.3">
      <c r="A58" s="6"/>
      <c r="B58" s="8"/>
      <c r="C58" s="4"/>
      <c r="D58" s="15" t="s">
        <v>252</v>
      </c>
      <c r="E58" s="40"/>
      <c r="F58" s="40">
        <f>6</f>
        <v>6</v>
      </c>
      <c r="G58" s="14" t="s">
        <v>90</v>
      </c>
      <c r="H58" s="43">
        <f>485/F58</f>
        <v>80.833333333333329</v>
      </c>
      <c r="I58" s="54">
        <f t="shared" ref="I58:I59" si="2">F58*H58</f>
        <v>485</v>
      </c>
      <c r="J58" s="13" t="s">
        <v>150</v>
      </c>
      <c r="L58" s="2"/>
    </row>
    <row r="59" spans="1:12" ht="32.25" x14ac:dyDescent="0.3">
      <c r="A59" s="6"/>
      <c r="B59" s="8"/>
      <c r="C59" s="4"/>
      <c r="D59" s="15" t="s">
        <v>253</v>
      </c>
      <c r="E59" s="40"/>
      <c r="F59" s="40">
        <f>6</f>
        <v>6</v>
      </c>
      <c r="G59" s="14" t="s">
        <v>90</v>
      </c>
      <c r="H59" s="43">
        <f>3355.4/F59</f>
        <v>559.23333333333335</v>
      </c>
      <c r="I59" s="54">
        <f t="shared" si="2"/>
        <v>3355.4</v>
      </c>
      <c r="J59" s="13" t="s">
        <v>150</v>
      </c>
      <c r="L59" s="2"/>
    </row>
    <row r="60" spans="1:12" ht="32.25" x14ac:dyDescent="0.3">
      <c r="A60" s="6"/>
      <c r="B60" s="8"/>
      <c r="C60" s="4"/>
      <c r="D60" s="15" t="s">
        <v>247</v>
      </c>
      <c r="E60" s="40"/>
      <c r="F60" s="40">
        <f>7.5</f>
        <v>7.5</v>
      </c>
      <c r="G60" s="14" t="s">
        <v>90</v>
      </c>
      <c r="H60" s="40">
        <f>10003.2/F60</f>
        <v>1333.76</v>
      </c>
      <c r="I60" s="54">
        <f t="shared" ref="I60:I70" si="3">F60*H60</f>
        <v>10003.200000000001</v>
      </c>
      <c r="J60" s="13" t="s">
        <v>150</v>
      </c>
      <c r="L60" s="2"/>
    </row>
    <row r="61" spans="1:12" ht="32.25" x14ac:dyDescent="0.3">
      <c r="A61" s="6"/>
      <c r="B61" s="8"/>
      <c r="C61" s="4"/>
      <c r="D61" s="15" t="s">
        <v>248</v>
      </c>
      <c r="E61" s="40"/>
      <c r="F61" s="40">
        <v>3.5</v>
      </c>
      <c r="G61" s="14" t="s">
        <v>90</v>
      </c>
      <c r="H61" s="43">
        <f>1150.6/F61</f>
        <v>328.74285714285713</v>
      </c>
      <c r="I61" s="54">
        <f t="shared" si="3"/>
        <v>1150.5999999999999</v>
      </c>
      <c r="J61" s="13" t="s">
        <v>150</v>
      </c>
      <c r="L61" s="2"/>
    </row>
    <row r="62" spans="1:12" ht="18.75" x14ac:dyDescent="0.3">
      <c r="A62" s="6"/>
      <c r="B62" s="8"/>
      <c r="C62" s="4"/>
      <c r="D62" s="15" t="s">
        <v>267</v>
      </c>
      <c r="E62" s="40"/>
      <c r="F62" s="40">
        <f>13</f>
        <v>13</v>
      </c>
      <c r="G62" s="14" t="s">
        <v>113</v>
      </c>
      <c r="H62" s="43">
        <f>26787.6/F62</f>
        <v>2060.5846153846151</v>
      </c>
      <c r="I62" s="54">
        <f>F62*H62</f>
        <v>26787.599999999995</v>
      </c>
      <c r="J62" s="13" t="s">
        <v>121</v>
      </c>
      <c r="L62" s="2"/>
    </row>
    <row r="63" spans="1:12" ht="48" x14ac:dyDescent="0.3">
      <c r="A63" s="6"/>
      <c r="B63" s="8"/>
      <c r="C63" s="4"/>
      <c r="D63" s="15" t="s">
        <v>269</v>
      </c>
      <c r="E63" s="40"/>
      <c r="F63" s="40">
        <f>72.9</f>
        <v>72.900000000000006</v>
      </c>
      <c r="G63" s="13" t="s">
        <v>113</v>
      </c>
      <c r="H63" s="43">
        <f>27656.6/F63</f>
        <v>379.37722908093275</v>
      </c>
      <c r="I63" s="54">
        <f>F63*H63</f>
        <v>27656.6</v>
      </c>
      <c r="J63" s="13" t="s">
        <v>121</v>
      </c>
      <c r="L63" s="2"/>
    </row>
    <row r="64" spans="1:12" ht="48" x14ac:dyDescent="0.3">
      <c r="A64" s="6"/>
      <c r="B64" s="8"/>
      <c r="C64" s="4"/>
      <c r="D64" s="15" t="s">
        <v>268</v>
      </c>
      <c r="E64" s="40"/>
      <c r="F64" s="40">
        <v>28.2</v>
      </c>
      <c r="G64" s="13" t="s">
        <v>113</v>
      </c>
      <c r="H64" s="43">
        <f>12935.4/F64</f>
        <v>458.70212765957444</v>
      </c>
      <c r="I64" s="54">
        <f>F64*H64</f>
        <v>12935.4</v>
      </c>
      <c r="J64" s="13" t="s">
        <v>121</v>
      </c>
      <c r="L64" s="2"/>
    </row>
    <row r="65" spans="1:12" ht="18.75" x14ac:dyDescent="0.3">
      <c r="A65" s="6"/>
      <c r="B65" s="8"/>
      <c r="C65" s="4"/>
      <c r="D65" s="15" t="s">
        <v>270</v>
      </c>
      <c r="E65" s="40"/>
      <c r="F65" s="40">
        <f>23</f>
        <v>23</v>
      </c>
      <c r="G65" s="14" t="s">
        <v>113</v>
      </c>
      <c r="H65" s="43">
        <f>90965.8/F65</f>
        <v>3955.0347826086959</v>
      </c>
      <c r="I65" s="54">
        <f>F65*H65</f>
        <v>90965.8</v>
      </c>
      <c r="J65" s="13" t="s">
        <v>121</v>
      </c>
      <c r="L65" s="2"/>
    </row>
    <row r="66" spans="1:12" ht="18.75" x14ac:dyDescent="0.3">
      <c r="A66" s="6" t="s">
        <v>61</v>
      </c>
      <c r="B66" s="5"/>
      <c r="C66" s="4"/>
      <c r="D66" s="15" t="s">
        <v>242</v>
      </c>
      <c r="E66" s="40" t="s">
        <v>141</v>
      </c>
      <c r="F66" s="40">
        <f>3</f>
        <v>3</v>
      </c>
      <c r="G66" s="14" t="s">
        <v>53</v>
      </c>
      <c r="H66" s="40">
        <f>962.4/F66</f>
        <v>320.8</v>
      </c>
      <c r="I66" s="54">
        <f t="shared" si="3"/>
        <v>962.40000000000009</v>
      </c>
      <c r="J66" s="13" t="s">
        <v>150</v>
      </c>
      <c r="L66" s="2"/>
    </row>
    <row r="67" spans="1:12" ht="18.75" x14ac:dyDescent="0.3">
      <c r="A67" s="6"/>
      <c r="B67" s="5"/>
      <c r="C67" s="4"/>
      <c r="D67" s="15" t="s">
        <v>243</v>
      </c>
      <c r="E67" s="40"/>
      <c r="F67" s="40">
        <f>3</f>
        <v>3</v>
      </c>
      <c r="G67" s="14" t="s">
        <v>90</v>
      </c>
      <c r="H67" s="43">
        <f>1759.6/F67</f>
        <v>586.5333333333333</v>
      </c>
      <c r="I67" s="55">
        <f t="shared" si="3"/>
        <v>1759.6</v>
      </c>
      <c r="J67" s="13" t="s">
        <v>229</v>
      </c>
      <c r="L67" s="2"/>
    </row>
    <row r="68" spans="1:12" ht="18.75" x14ac:dyDescent="0.3">
      <c r="A68" s="6"/>
      <c r="B68" s="5"/>
      <c r="C68" s="4"/>
      <c r="D68" s="15" t="s">
        <v>266</v>
      </c>
      <c r="E68" s="40"/>
      <c r="F68" s="40">
        <f>24</f>
        <v>24</v>
      </c>
      <c r="G68" s="14" t="s">
        <v>147</v>
      </c>
      <c r="H68" s="43">
        <f>3856.6/F68</f>
        <v>160.69166666666666</v>
      </c>
      <c r="I68" s="55">
        <f t="shared" si="3"/>
        <v>3856.6</v>
      </c>
      <c r="J68" s="13" t="s">
        <v>229</v>
      </c>
      <c r="L68" s="2"/>
    </row>
    <row r="69" spans="1:12" ht="32.25" x14ac:dyDescent="0.3">
      <c r="A69" s="6"/>
      <c r="B69" s="5"/>
      <c r="C69" s="4"/>
      <c r="D69" s="15" t="s">
        <v>241</v>
      </c>
      <c r="E69" s="40"/>
      <c r="F69" s="40">
        <v>46.31</v>
      </c>
      <c r="G69" s="14" t="s">
        <v>113</v>
      </c>
      <c r="H69" s="43">
        <f>31694.6/F69</f>
        <v>684.40077736989849</v>
      </c>
      <c r="I69" s="55">
        <f t="shared" si="3"/>
        <v>31694.600000000002</v>
      </c>
      <c r="J69" s="13" t="s">
        <v>229</v>
      </c>
      <c r="L69" s="2"/>
    </row>
    <row r="70" spans="1:12" ht="32.25" x14ac:dyDescent="0.3">
      <c r="A70" s="6"/>
      <c r="B70" s="5"/>
      <c r="C70" s="4"/>
      <c r="D70" s="15" t="s">
        <v>226</v>
      </c>
      <c r="E70" s="40"/>
      <c r="F70" s="40">
        <f>45.99+22.5+0.72</f>
        <v>69.210000000000008</v>
      </c>
      <c r="G70" s="14" t="s">
        <v>113</v>
      </c>
      <c r="H70" s="43">
        <f>(185786+94972.2+1843.6)/F70</f>
        <v>4083.2509752925871</v>
      </c>
      <c r="I70" s="55">
        <f t="shared" si="3"/>
        <v>282601.8</v>
      </c>
      <c r="J70" s="13" t="s">
        <v>229</v>
      </c>
      <c r="L70" s="2"/>
    </row>
    <row r="71" spans="1:12" ht="32.25" x14ac:dyDescent="0.3">
      <c r="A71" s="6" t="s">
        <v>62</v>
      </c>
      <c r="B71" s="5"/>
      <c r="C71" s="4"/>
      <c r="D71" s="15" t="s">
        <v>64</v>
      </c>
      <c r="E71" s="40" t="s">
        <v>141</v>
      </c>
      <c r="F71" s="40" t="s">
        <v>141</v>
      </c>
      <c r="G71" s="13" t="s">
        <v>30</v>
      </c>
      <c r="H71" s="40" t="s">
        <v>141</v>
      </c>
      <c r="I71" s="40" t="s">
        <v>141</v>
      </c>
      <c r="J71" s="13"/>
      <c r="L71" s="2"/>
    </row>
    <row r="72" spans="1:12" ht="18.75" x14ac:dyDescent="0.3">
      <c r="A72" s="6"/>
      <c r="B72" s="5"/>
      <c r="C72" s="4"/>
      <c r="D72" s="15" t="s">
        <v>161</v>
      </c>
      <c r="E72" s="40" t="s">
        <v>141</v>
      </c>
      <c r="F72" s="40" t="s">
        <v>141</v>
      </c>
      <c r="G72" s="13" t="s">
        <v>31</v>
      </c>
      <c r="H72" s="40" t="s">
        <v>141</v>
      </c>
      <c r="I72" s="40" t="s">
        <v>141</v>
      </c>
      <c r="J72" s="13"/>
      <c r="L72" s="2"/>
    </row>
    <row r="73" spans="1:12" ht="18.75" x14ac:dyDescent="0.3">
      <c r="A73" s="6" t="s">
        <v>58</v>
      </c>
      <c r="B73" s="8"/>
      <c r="C73" s="4"/>
      <c r="D73" s="4" t="s">
        <v>48</v>
      </c>
      <c r="E73" s="40" t="s">
        <v>141</v>
      </c>
      <c r="F73" s="40" t="s">
        <v>141</v>
      </c>
      <c r="G73" s="14" t="s">
        <v>53</v>
      </c>
      <c r="H73" s="40" t="s">
        <v>141</v>
      </c>
      <c r="I73" s="40" t="s">
        <v>141</v>
      </c>
      <c r="J73" s="13"/>
      <c r="L73" s="2"/>
    </row>
    <row r="74" spans="1:12" ht="32.25" x14ac:dyDescent="0.3">
      <c r="A74" s="6"/>
      <c r="B74" s="8"/>
      <c r="C74" s="4"/>
      <c r="D74" s="15" t="s">
        <v>271</v>
      </c>
      <c r="E74" s="40"/>
      <c r="F74" s="40">
        <f>10</f>
        <v>10</v>
      </c>
      <c r="G74" s="14" t="s">
        <v>113</v>
      </c>
      <c r="H74" s="40">
        <f>737.4/F74</f>
        <v>73.739999999999995</v>
      </c>
      <c r="I74" s="54">
        <f>F74*H74</f>
        <v>737.4</v>
      </c>
      <c r="J74" s="13" t="s">
        <v>121</v>
      </c>
      <c r="L74" s="2"/>
    </row>
    <row r="75" spans="1:12" ht="24" customHeight="1" x14ac:dyDescent="0.3">
      <c r="A75" s="6" t="s">
        <v>60</v>
      </c>
      <c r="B75" s="8"/>
      <c r="C75" s="4"/>
      <c r="D75" s="4" t="s">
        <v>49</v>
      </c>
      <c r="E75" s="40" t="s">
        <v>141</v>
      </c>
      <c r="F75" s="40" t="s">
        <v>141</v>
      </c>
      <c r="G75" s="14" t="s">
        <v>53</v>
      </c>
      <c r="H75" s="40" t="s">
        <v>141</v>
      </c>
      <c r="I75" s="40" t="s">
        <v>141</v>
      </c>
      <c r="J75" s="13"/>
      <c r="L75" s="2"/>
    </row>
    <row r="76" spans="1:12" ht="18.75" x14ac:dyDescent="0.3">
      <c r="A76" s="6" t="s">
        <v>65</v>
      </c>
      <c r="B76" s="5"/>
      <c r="C76" s="4"/>
      <c r="D76" s="4" t="s">
        <v>93</v>
      </c>
      <c r="E76" s="40" t="s">
        <v>141</v>
      </c>
      <c r="F76" s="40" t="s">
        <v>141</v>
      </c>
      <c r="G76" s="14" t="s">
        <v>54</v>
      </c>
      <c r="H76" s="40" t="s">
        <v>141</v>
      </c>
      <c r="I76" s="40" t="s">
        <v>141</v>
      </c>
      <c r="J76" s="13"/>
      <c r="L76" s="2"/>
    </row>
    <row r="77" spans="1:12" ht="18.75" x14ac:dyDescent="0.3">
      <c r="A77" s="27"/>
      <c r="B77" s="22"/>
      <c r="C77" s="22"/>
      <c r="D77" s="22"/>
      <c r="E77" s="44"/>
      <c r="F77" s="44"/>
      <c r="G77" s="12"/>
      <c r="H77" s="40"/>
      <c r="I77" s="43">
        <f>SUM(I42:I76)</f>
        <v>885643.79999999993</v>
      </c>
      <c r="J77" s="13"/>
      <c r="L77" s="2"/>
    </row>
    <row r="78" spans="1:12" ht="18.75" x14ac:dyDescent="0.3">
      <c r="A78" s="68" t="s">
        <v>67</v>
      </c>
      <c r="B78" s="69"/>
      <c r="C78" s="69"/>
      <c r="D78" s="69"/>
      <c r="E78" s="69"/>
      <c r="F78" s="69"/>
      <c r="G78" s="70"/>
      <c r="H78" s="18"/>
      <c r="I78" s="5"/>
      <c r="J78" s="13"/>
      <c r="L78" s="2"/>
    </row>
    <row r="79" spans="1:12" ht="37.5" x14ac:dyDescent="0.25">
      <c r="A79" s="9" t="s">
        <v>29</v>
      </c>
      <c r="B79" s="8"/>
      <c r="C79" s="4"/>
      <c r="D79" s="15" t="s">
        <v>144</v>
      </c>
      <c r="E79" s="40"/>
      <c r="F79" s="40"/>
      <c r="G79" s="13" t="s">
        <v>54</v>
      </c>
      <c r="H79" s="40"/>
      <c r="I79" s="40"/>
      <c r="J79" s="13"/>
      <c r="L79" s="2"/>
    </row>
    <row r="80" spans="1:12" ht="31.5" x14ac:dyDescent="0.25">
      <c r="A80" s="9"/>
      <c r="B80" s="8"/>
      <c r="C80" s="4"/>
      <c r="D80" s="15" t="s">
        <v>262</v>
      </c>
      <c r="E80" s="40"/>
      <c r="F80" s="40">
        <f>6+12</f>
        <v>18</v>
      </c>
      <c r="G80" s="13" t="s">
        <v>31</v>
      </c>
      <c r="H80" s="43">
        <f>(952.6+1908)/F80</f>
        <v>158.92222222222222</v>
      </c>
      <c r="I80" s="40">
        <f>F80*H80</f>
        <v>2860.6</v>
      </c>
      <c r="J80" s="13" t="s">
        <v>121</v>
      </c>
      <c r="L80" s="2"/>
    </row>
    <row r="81" spans="1:12" ht="46.5" customHeight="1" x14ac:dyDescent="0.25">
      <c r="A81" s="9" t="s">
        <v>92</v>
      </c>
      <c r="B81" s="8"/>
      <c r="C81" s="4"/>
      <c r="D81" s="41" t="s">
        <v>126</v>
      </c>
      <c r="E81" s="31"/>
      <c r="F81" s="13">
        <v>2900</v>
      </c>
      <c r="G81" s="13" t="s">
        <v>113</v>
      </c>
      <c r="H81" s="32">
        <f>(12487.6+12212+12212+12212+12487.6+12487.6+12818.4+12818.4+12818.4+13224.6+13224.6+13224.6)/F81</f>
        <v>52.492344827586201</v>
      </c>
      <c r="I81" s="32">
        <f t="shared" ref="I81:I83" si="4">F81*H81</f>
        <v>152227.79999999999</v>
      </c>
      <c r="J81" s="13" t="s">
        <v>116</v>
      </c>
      <c r="L81" s="2"/>
    </row>
    <row r="82" spans="1:12" ht="46.5" customHeight="1" x14ac:dyDescent="0.25">
      <c r="A82" s="9"/>
      <c r="B82" s="8"/>
      <c r="C82" s="4"/>
      <c r="D82" s="15" t="s">
        <v>111</v>
      </c>
      <c r="E82" s="31"/>
      <c r="F82" s="13">
        <f>4285</f>
        <v>4285</v>
      </c>
      <c r="G82" s="13" t="s">
        <v>30</v>
      </c>
      <c r="H82" s="32">
        <f>357946.8/F82</f>
        <v>83.534842473745627</v>
      </c>
      <c r="I82" s="32">
        <f t="shared" si="4"/>
        <v>357946.8</v>
      </c>
      <c r="J82" s="13" t="s">
        <v>118</v>
      </c>
      <c r="L82" s="2"/>
    </row>
    <row r="83" spans="1:12" ht="46.5" customHeight="1" x14ac:dyDescent="0.25">
      <c r="A83" s="9"/>
      <c r="B83" s="8"/>
      <c r="C83" s="4"/>
      <c r="D83" s="15" t="s">
        <v>112</v>
      </c>
      <c r="E83" s="40"/>
      <c r="F83" s="40">
        <v>280</v>
      </c>
      <c r="G83" s="13" t="s">
        <v>30</v>
      </c>
      <c r="H83" s="40">
        <f>23656.2</f>
        <v>23656.2</v>
      </c>
      <c r="I83" s="40">
        <f t="shared" si="4"/>
        <v>6623736</v>
      </c>
      <c r="J83" s="13" t="s">
        <v>118</v>
      </c>
      <c r="L83" s="2"/>
    </row>
    <row r="84" spans="1:12" ht="46.5" customHeight="1" x14ac:dyDescent="0.25">
      <c r="A84" s="9"/>
      <c r="B84" s="8"/>
      <c r="C84" s="4"/>
      <c r="D84" s="15" t="s">
        <v>159</v>
      </c>
      <c r="E84" s="40"/>
      <c r="F84" s="40"/>
      <c r="G84" s="13" t="s">
        <v>31</v>
      </c>
      <c r="H84" s="40"/>
      <c r="I84" s="40"/>
      <c r="J84" s="13"/>
      <c r="L84" s="2"/>
    </row>
    <row r="85" spans="1:12" ht="46.5" customHeight="1" x14ac:dyDescent="0.25">
      <c r="A85" s="9"/>
      <c r="B85" s="8"/>
      <c r="C85" s="4"/>
      <c r="D85" s="15" t="s">
        <v>180</v>
      </c>
      <c r="E85" s="40" t="s">
        <v>141</v>
      </c>
      <c r="F85" s="40" t="s">
        <v>141</v>
      </c>
      <c r="G85" s="13" t="s">
        <v>31</v>
      </c>
      <c r="H85" s="40" t="s">
        <v>141</v>
      </c>
      <c r="I85" s="40" t="s">
        <v>141</v>
      </c>
      <c r="J85" s="13"/>
      <c r="L85" s="2"/>
    </row>
    <row r="86" spans="1:12" ht="46.5" customHeight="1" x14ac:dyDescent="0.25">
      <c r="A86" s="9"/>
      <c r="B86" s="8"/>
      <c r="C86" s="4"/>
      <c r="D86" s="15" t="s">
        <v>219</v>
      </c>
      <c r="E86" s="40" t="s">
        <v>141</v>
      </c>
      <c r="F86" s="40" t="s">
        <v>141</v>
      </c>
      <c r="G86" s="13" t="s">
        <v>31</v>
      </c>
      <c r="H86" s="40" t="s">
        <v>141</v>
      </c>
      <c r="I86" s="40" t="s">
        <v>141</v>
      </c>
      <c r="J86" s="13"/>
      <c r="L86" s="2"/>
    </row>
    <row r="87" spans="1:12" ht="46.5" customHeight="1" x14ac:dyDescent="0.25">
      <c r="A87" s="9"/>
      <c r="B87" s="8"/>
      <c r="C87" s="4"/>
      <c r="D87" s="15" t="s">
        <v>158</v>
      </c>
      <c r="E87" s="40"/>
      <c r="F87" s="40"/>
      <c r="G87" s="13" t="s">
        <v>31</v>
      </c>
      <c r="H87" s="40"/>
      <c r="I87" s="40"/>
      <c r="J87" s="13"/>
      <c r="L87" s="2"/>
    </row>
    <row r="88" spans="1:12" ht="46.5" customHeight="1" x14ac:dyDescent="0.25">
      <c r="A88" s="9"/>
      <c r="B88" s="8"/>
      <c r="C88" s="4"/>
      <c r="D88" s="15" t="s">
        <v>212</v>
      </c>
      <c r="E88" s="40"/>
      <c r="F88" s="40"/>
      <c r="G88" s="13" t="s">
        <v>31</v>
      </c>
      <c r="H88" s="40"/>
      <c r="I88" s="40"/>
      <c r="J88" s="13"/>
      <c r="L88" s="2"/>
    </row>
    <row r="89" spans="1:12" ht="46.5" customHeight="1" x14ac:dyDescent="0.25">
      <c r="A89" s="9"/>
      <c r="B89" s="8"/>
      <c r="C89" s="4"/>
      <c r="D89" s="15" t="s">
        <v>181</v>
      </c>
      <c r="E89" s="40"/>
      <c r="F89" s="40">
        <f>10</f>
        <v>10</v>
      </c>
      <c r="G89" s="13" t="s">
        <v>31</v>
      </c>
      <c r="H89" s="40">
        <f>14577.8/F89</f>
        <v>1457.78</v>
      </c>
      <c r="I89" s="40">
        <f>F89*H89</f>
        <v>14577.8</v>
      </c>
      <c r="J89" s="13" t="s">
        <v>118</v>
      </c>
      <c r="L89" s="2"/>
    </row>
    <row r="90" spans="1:12" ht="46.5" customHeight="1" x14ac:dyDescent="0.25">
      <c r="A90" s="9"/>
      <c r="B90" s="8"/>
      <c r="C90" s="4"/>
      <c r="D90" s="15" t="s">
        <v>160</v>
      </c>
      <c r="E90" s="40" t="s">
        <v>141</v>
      </c>
      <c r="F90" s="40" t="s">
        <v>141</v>
      </c>
      <c r="G90" s="13" t="s">
        <v>31</v>
      </c>
      <c r="H90" s="40" t="s">
        <v>141</v>
      </c>
      <c r="I90" s="40" t="s">
        <v>141</v>
      </c>
      <c r="J90" s="13"/>
      <c r="L90" s="2"/>
    </row>
    <row r="91" spans="1:12" ht="46.5" customHeight="1" x14ac:dyDescent="0.25">
      <c r="A91" s="9"/>
      <c r="B91" s="8"/>
      <c r="C91" s="4"/>
      <c r="D91" s="15" t="s">
        <v>185</v>
      </c>
      <c r="E91" s="40" t="s">
        <v>141</v>
      </c>
      <c r="F91" s="40" t="s">
        <v>141</v>
      </c>
      <c r="G91" s="13" t="s">
        <v>30</v>
      </c>
      <c r="H91" s="40" t="s">
        <v>141</v>
      </c>
      <c r="I91" s="40" t="s">
        <v>141</v>
      </c>
      <c r="J91" s="13"/>
      <c r="L91" s="2"/>
    </row>
    <row r="92" spans="1:12" ht="46.5" customHeight="1" x14ac:dyDescent="0.25">
      <c r="A92" s="9"/>
      <c r="B92" s="8"/>
      <c r="C92" s="4"/>
      <c r="D92" s="15" t="s">
        <v>186</v>
      </c>
      <c r="E92" s="40" t="s">
        <v>141</v>
      </c>
      <c r="F92" s="40">
        <f>4</f>
        <v>4</v>
      </c>
      <c r="G92" s="13" t="s">
        <v>30</v>
      </c>
      <c r="H92" s="40">
        <f>5943.2/F92</f>
        <v>1485.8</v>
      </c>
      <c r="I92" s="54">
        <f>F92*H92</f>
        <v>5943.2</v>
      </c>
      <c r="J92" s="13" t="s">
        <v>118</v>
      </c>
      <c r="L92" s="2"/>
    </row>
    <row r="93" spans="1:12" ht="46.5" customHeight="1" x14ac:dyDescent="0.25">
      <c r="A93" s="9"/>
      <c r="B93" s="8"/>
      <c r="C93" s="4"/>
      <c r="D93" s="15" t="s">
        <v>172</v>
      </c>
      <c r="E93" s="40" t="s">
        <v>141</v>
      </c>
      <c r="F93" s="40" t="s">
        <v>141</v>
      </c>
      <c r="G93" s="13" t="s">
        <v>155</v>
      </c>
      <c r="H93" s="40" t="s">
        <v>141</v>
      </c>
      <c r="I93" s="40" t="s">
        <v>141</v>
      </c>
      <c r="J93" s="13"/>
      <c r="L93" s="2"/>
    </row>
    <row r="94" spans="1:12" ht="46.5" customHeight="1" x14ac:dyDescent="0.25">
      <c r="A94" s="9"/>
      <c r="B94" s="8"/>
      <c r="C94" s="4"/>
      <c r="D94" s="15" t="s">
        <v>143</v>
      </c>
      <c r="E94" s="40" t="s">
        <v>141</v>
      </c>
      <c r="F94" s="40" t="s">
        <v>141</v>
      </c>
      <c r="G94" s="13" t="s">
        <v>31</v>
      </c>
      <c r="H94" s="40" t="s">
        <v>141</v>
      </c>
      <c r="I94" s="40" t="s">
        <v>141</v>
      </c>
      <c r="J94" s="13"/>
      <c r="L94" s="2"/>
    </row>
    <row r="95" spans="1:12" ht="46.5" customHeight="1" x14ac:dyDescent="0.25">
      <c r="A95" s="9"/>
      <c r="B95" s="8"/>
      <c r="C95" s="4"/>
      <c r="D95" s="15" t="s">
        <v>134</v>
      </c>
      <c r="E95" s="40"/>
      <c r="F95" s="40">
        <f>30</f>
        <v>30</v>
      </c>
      <c r="G95" s="13" t="s">
        <v>31</v>
      </c>
      <c r="H95" s="43">
        <f>35218/F95</f>
        <v>1173.9333333333334</v>
      </c>
      <c r="I95" s="54">
        <f>F95*H95</f>
        <v>35218</v>
      </c>
      <c r="J95" s="13" t="s">
        <v>118</v>
      </c>
      <c r="L95" s="2"/>
    </row>
    <row r="96" spans="1:12" ht="31.5" x14ac:dyDescent="0.25">
      <c r="A96" s="9" t="s">
        <v>83</v>
      </c>
      <c r="B96" s="8"/>
      <c r="C96" s="4"/>
      <c r="D96" s="15" t="s">
        <v>163</v>
      </c>
      <c r="E96" s="40"/>
      <c r="F96" s="40"/>
      <c r="G96" s="13" t="s">
        <v>54</v>
      </c>
      <c r="H96" s="40" t="s">
        <v>141</v>
      </c>
      <c r="I96" s="40" t="s">
        <v>141</v>
      </c>
      <c r="J96" s="13"/>
      <c r="L96" s="2"/>
    </row>
    <row r="97" spans="1:12" ht="31.5" x14ac:dyDescent="0.25">
      <c r="A97" s="9"/>
      <c r="B97" s="8"/>
      <c r="C97" s="4"/>
      <c r="D97" s="15" t="s">
        <v>164</v>
      </c>
      <c r="E97" s="40"/>
      <c r="F97" s="40"/>
      <c r="G97" s="13" t="s">
        <v>54</v>
      </c>
      <c r="H97" s="40" t="s">
        <v>141</v>
      </c>
      <c r="I97" s="40" t="s">
        <v>141</v>
      </c>
      <c r="J97" s="13"/>
      <c r="L97" s="2"/>
    </row>
    <row r="98" spans="1:12" ht="18.75" x14ac:dyDescent="0.25">
      <c r="A98" s="9"/>
      <c r="B98" s="8"/>
      <c r="C98" s="4"/>
      <c r="D98" s="15" t="s">
        <v>183</v>
      </c>
      <c r="E98" s="40"/>
      <c r="F98" s="40"/>
      <c r="G98" s="13" t="s">
        <v>31</v>
      </c>
      <c r="H98" s="40"/>
      <c r="I98" s="40"/>
      <c r="J98" s="13"/>
      <c r="L98" s="2"/>
    </row>
    <row r="99" spans="1:12" ht="18.75" x14ac:dyDescent="0.25">
      <c r="A99" s="9"/>
      <c r="B99" s="8"/>
      <c r="C99" s="4"/>
      <c r="D99" s="15" t="s">
        <v>213</v>
      </c>
      <c r="E99" s="40"/>
      <c r="F99" s="40"/>
      <c r="G99" s="13" t="s">
        <v>31</v>
      </c>
      <c r="H99" s="40"/>
      <c r="I99" s="40"/>
      <c r="J99" s="13"/>
      <c r="L99" s="2"/>
    </row>
    <row r="100" spans="1:12" ht="18.75" x14ac:dyDescent="0.25">
      <c r="A100" s="9"/>
      <c r="B100" s="8"/>
      <c r="C100" s="4"/>
      <c r="D100" s="15" t="s">
        <v>214</v>
      </c>
      <c r="E100" s="40"/>
      <c r="F100" s="40"/>
      <c r="G100" s="13" t="s">
        <v>31</v>
      </c>
      <c r="H100" s="40"/>
      <c r="I100" s="59"/>
      <c r="J100" s="13"/>
      <c r="L100" s="2"/>
    </row>
    <row r="101" spans="1:12" ht="18.75" x14ac:dyDescent="0.25">
      <c r="A101" s="9"/>
      <c r="B101" s="8"/>
      <c r="C101" s="4"/>
      <c r="D101" s="15" t="s">
        <v>202</v>
      </c>
      <c r="E101" s="40"/>
      <c r="F101" s="40"/>
      <c r="G101" s="13" t="s">
        <v>31</v>
      </c>
      <c r="H101" s="40" t="s">
        <v>141</v>
      </c>
      <c r="I101" s="40" t="s">
        <v>141</v>
      </c>
      <c r="J101" s="13"/>
      <c r="L101" s="2"/>
    </row>
    <row r="102" spans="1:12" ht="31.5" x14ac:dyDescent="0.25">
      <c r="A102" s="9"/>
      <c r="B102" s="8"/>
      <c r="C102" s="4"/>
      <c r="D102" s="15" t="s">
        <v>203</v>
      </c>
      <c r="E102" s="40"/>
      <c r="F102" s="40"/>
      <c r="G102" s="13" t="s">
        <v>31</v>
      </c>
      <c r="H102" s="40" t="s">
        <v>141</v>
      </c>
      <c r="I102" s="40" t="s">
        <v>141</v>
      </c>
      <c r="J102" s="13"/>
      <c r="L102" s="2"/>
    </row>
    <row r="103" spans="1:12" ht="18.75" x14ac:dyDescent="0.25">
      <c r="A103" s="9"/>
      <c r="B103" s="8"/>
      <c r="C103" s="4"/>
      <c r="D103" s="15" t="s">
        <v>165</v>
      </c>
      <c r="E103" s="40"/>
      <c r="F103" s="40"/>
      <c r="G103" s="13" t="s">
        <v>166</v>
      </c>
      <c r="H103" s="40"/>
      <c r="I103" s="40"/>
      <c r="J103" s="13"/>
      <c r="L103" s="2"/>
    </row>
    <row r="104" spans="1:12" ht="18.75" x14ac:dyDescent="0.25">
      <c r="A104" s="9" t="s">
        <v>20</v>
      </c>
      <c r="B104" s="8"/>
      <c r="C104" s="4"/>
      <c r="D104" s="15" t="s">
        <v>68</v>
      </c>
      <c r="E104" s="40" t="s">
        <v>141</v>
      </c>
      <c r="F104" s="40" t="s">
        <v>141</v>
      </c>
      <c r="G104" s="13" t="s">
        <v>30</v>
      </c>
      <c r="H104" s="40" t="s">
        <v>141</v>
      </c>
      <c r="I104" s="40" t="s">
        <v>141</v>
      </c>
      <c r="J104" s="13"/>
      <c r="L104" s="2"/>
    </row>
    <row r="105" spans="1:12" ht="31.5" x14ac:dyDescent="0.25">
      <c r="A105" s="9" t="s">
        <v>21</v>
      </c>
      <c r="B105" s="8"/>
      <c r="C105" s="4"/>
      <c r="D105" s="15" t="s">
        <v>70</v>
      </c>
      <c r="E105" s="40" t="s">
        <v>141</v>
      </c>
      <c r="F105" s="40" t="s">
        <v>141</v>
      </c>
      <c r="G105" s="13" t="s">
        <v>54</v>
      </c>
      <c r="H105" s="40" t="s">
        <v>141</v>
      </c>
      <c r="I105" s="40" t="s">
        <v>141</v>
      </c>
      <c r="J105" s="13"/>
      <c r="L105" s="2"/>
    </row>
    <row r="106" spans="1:12" ht="18.75" x14ac:dyDescent="0.25">
      <c r="A106" s="45"/>
      <c r="B106" s="46"/>
      <c r="C106" s="22"/>
      <c r="D106" s="29"/>
      <c r="E106" s="44"/>
      <c r="F106" s="44"/>
      <c r="G106" s="30"/>
      <c r="H106" s="40"/>
      <c r="I106" s="40">
        <f>SUM(I79:I105)</f>
        <v>7192510.2000000002</v>
      </c>
      <c r="J106" s="13"/>
      <c r="L106" s="2"/>
    </row>
    <row r="107" spans="1:12" ht="18.75" x14ac:dyDescent="0.3">
      <c r="A107" s="64" t="s">
        <v>71</v>
      </c>
      <c r="B107" s="65"/>
      <c r="C107" s="65"/>
      <c r="D107" s="65"/>
      <c r="E107" s="65"/>
      <c r="F107" s="65"/>
      <c r="G107" s="66"/>
      <c r="H107" s="19"/>
      <c r="I107" s="5"/>
      <c r="J107" s="13"/>
      <c r="L107" s="2"/>
    </row>
    <row r="108" spans="1:12" ht="37.5" x14ac:dyDescent="0.25">
      <c r="A108" s="9" t="s">
        <v>92</v>
      </c>
      <c r="B108" s="8"/>
      <c r="C108" s="4"/>
      <c r="D108" s="4" t="s">
        <v>129</v>
      </c>
      <c r="E108" s="30"/>
      <c r="F108" s="13">
        <f>6+4+6+6+6+3+12+12+6+12+8+4</f>
        <v>85</v>
      </c>
      <c r="G108" s="13" t="s">
        <v>115</v>
      </c>
      <c r="H108" s="32">
        <f>(3876.4+2527.8+3790.8+3790.8+2584.8+1938.6+7955.8+7955.8+3978.4+8209+5472+2737)/F108/3</f>
        <v>214.96941176470588</v>
      </c>
      <c r="I108" s="32">
        <f>F108*H108</f>
        <v>18272.400000000001</v>
      </c>
      <c r="J108" s="13" t="s">
        <v>116</v>
      </c>
      <c r="L108" s="2"/>
    </row>
    <row r="109" spans="1:12" ht="18.75" x14ac:dyDescent="0.25">
      <c r="A109" s="9"/>
      <c r="B109" s="8"/>
      <c r="C109" s="4"/>
      <c r="D109" s="15" t="s">
        <v>153</v>
      </c>
      <c r="E109" s="40"/>
      <c r="F109" s="40"/>
      <c r="G109" s="13" t="s">
        <v>31</v>
      </c>
      <c r="H109" s="40" t="s">
        <v>141</v>
      </c>
      <c r="I109" s="40" t="s">
        <v>141</v>
      </c>
      <c r="J109" s="13"/>
      <c r="L109" s="2"/>
    </row>
    <row r="110" spans="1:12" ht="31.5" x14ac:dyDescent="0.25">
      <c r="A110" s="9"/>
      <c r="B110" s="8"/>
      <c r="C110" s="4"/>
      <c r="D110" s="15" t="s">
        <v>172</v>
      </c>
      <c r="E110" s="40"/>
      <c r="F110" s="40"/>
      <c r="G110" s="13" t="s">
        <v>155</v>
      </c>
      <c r="H110" s="40" t="s">
        <v>141</v>
      </c>
      <c r="I110" s="40" t="s">
        <v>141</v>
      </c>
      <c r="J110" s="13"/>
      <c r="L110" s="2"/>
    </row>
    <row r="111" spans="1:12" ht="31.5" x14ac:dyDescent="0.25">
      <c r="A111" s="9"/>
      <c r="B111" s="8"/>
      <c r="C111" s="4"/>
      <c r="D111" s="15" t="s">
        <v>174</v>
      </c>
      <c r="E111" s="40"/>
      <c r="F111" s="40">
        <f>4+1</f>
        <v>5</v>
      </c>
      <c r="G111" s="13" t="s">
        <v>30</v>
      </c>
      <c r="H111" s="40">
        <f>(1229.8+307)/F111</f>
        <v>307.36</v>
      </c>
      <c r="I111" s="54">
        <f>F111*H111</f>
        <v>1536.8000000000002</v>
      </c>
      <c r="J111" s="13" t="s">
        <v>118</v>
      </c>
      <c r="L111" s="2"/>
    </row>
    <row r="112" spans="1:12" ht="31.5" x14ac:dyDescent="0.25">
      <c r="A112" s="9"/>
      <c r="B112" s="8"/>
      <c r="C112" s="4"/>
      <c r="D112" s="15" t="s">
        <v>188</v>
      </c>
      <c r="E112" s="40"/>
      <c r="F112" s="40"/>
      <c r="G112" s="13" t="s">
        <v>30</v>
      </c>
      <c r="H112" s="40" t="s">
        <v>141</v>
      </c>
      <c r="I112" s="40" t="s">
        <v>141</v>
      </c>
      <c r="J112" s="13"/>
      <c r="L112" s="2"/>
    </row>
    <row r="113" spans="1:12" ht="78.75" x14ac:dyDescent="0.25">
      <c r="A113" s="9"/>
      <c r="B113" s="8"/>
      <c r="C113" s="4"/>
      <c r="D113" s="15" t="s">
        <v>201</v>
      </c>
      <c r="E113" s="40"/>
      <c r="F113" s="40"/>
      <c r="G113" s="13" t="s">
        <v>173</v>
      </c>
      <c r="H113" s="40"/>
      <c r="I113" s="40"/>
      <c r="J113" s="13"/>
      <c r="L113" s="2"/>
    </row>
    <row r="114" spans="1:12" ht="47.25" x14ac:dyDescent="0.25">
      <c r="A114" s="9"/>
      <c r="B114" s="8"/>
      <c r="C114" s="4"/>
      <c r="D114" s="15" t="s">
        <v>177</v>
      </c>
      <c r="E114" s="40"/>
      <c r="F114" s="40"/>
      <c r="G114" s="13" t="s">
        <v>30</v>
      </c>
      <c r="H114" s="40"/>
      <c r="I114" s="40"/>
      <c r="J114" s="13"/>
      <c r="L114" s="2"/>
    </row>
    <row r="115" spans="1:12" ht="78.75" x14ac:dyDescent="0.25">
      <c r="A115" s="9"/>
      <c r="B115" s="8"/>
      <c r="C115" s="4"/>
      <c r="D115" s="15" t="s">
        <v>215</v>
      </c>
      <c r="E115" s="40"/>
      <c r="F115" s="40">
        <f>2</f>
        <v>2</v>
      </c>
      <c r="G115" s="13" t="s">
        <v>173</v>
      </c>
      <c r="H115" s="40">
        <f>63.4/F115</f>
        <v>31.7</v>
      </c>
      <c r="I115" s="54">
        <f t="shared" ref="I115:I118" si="5">F115*H115</f>
        <v>63.4</v>
      </c>
      <c r="J115" s="13" t="s">
        <v>118</v>
      </c>
      <c r="L115" s="2"/>
    </row>
    <row r="116" spans="1:12" ht="47.25" x14ac:dyDescent="0.25">
      <c r="A116" s="9"/>
      <c r="B116" s="8"/>
      <c r="C116" s="4"/>
      <c r="D116" s="15" t="s">
        <v>216</v>
      </c>
      <c r="E116" s="40"/>
      <c r="F116" s="40">
        <f>1+1</f>
        <v>2</v>
      </c>
      <c r="G116" s="13" t="s">
        <v>30</v>
      </c>
      <c r="H116" s="40">
        <f>(1784.4+3921.2)/F116</f>
        <v>2852.8</v>
      </c>
      <c r="I116" s="54">
        <f t="shared" si="5"/>
        <v>5705.6</v>
      </c>
      <c r="J116" s="13" t="s">
        <v>118</v>
      </c>
      <c r="L116" s="2"/>
    </row>
    <row r="117" spans="1:12" ht="78.75" x14ac:dyDescent="0.25">
      <c r="A117" s="9"/>
      <c r="B117" s="8"/>
      <c r="C117" s="4"/>
      <c r="D117" s="15" t="s">
        <v>175</v>
      </c>
      <c r="E117" s="40"/>
      <c r="F117" s="40">
        <f>4+2</f>
        <v>6</v>
      </c>
      <c r="G117" s="13" t="s">
        <v>173</v>
      </c>
      <c r="H117" s="43">
        <f>(162.4+82.8)/F117</f>
        <v>40.866666666666667</v>
      </c>
      <c r="I117" s="54">
        <f t="shared" si="5"/>
        <v>245.2</v>
      </c>
      <c r="J117" s="13" t="s">
        <v>118</v>
      </c>
      <c r="L117" s="2"/>
    </row>
    <row r="118" spans="1:12" ht="47.25" x14ac:dyDescent="0.25">
      <c r="A118" s="9"/>
      <c r="B118" s="8"/>
      <c r="C118" s="4"/>
      <c r="D118" s="15" t="s">
        <v>176</v>
      </c>
      <c r="E118" s="40"/>
      <c r="F118" s="40">
        <f>4+1</f>
        <v>5</v>
      </c>
      <c r="G118" s="13" t="s">
        <v>30</v>
      </c>
      <c r="H118" s="40">
        <f>(3616.8+2500.4)/F118</f>
        <v>1223.44</v>
      </c>
      <c r="I118" s="54">
        <f t="shared" si="5"/>
        <v>6117.2000000000007</v>
      </c>
      <c r="J118" s="13" t="s">
        <v>118</v>
      </c>
      <c r="L118" s="2"/>
    </row>
    <row r="119" spans="1:12" ht="31.5" x14ac:dyDescent="0.25">
      <c r="A119" s="9"/>
      <c r="B119" s="8"/>
      <c r="C119" s="4"/>
      <c r="D119" s="15" t="s">
        <v>217</v>
      </c>
      <c r="E119" s="40"/>
      <c r="F119" s="40"/>
      <c r="G119" s="13" t="s">
        <v>148</v>
      </c>
      <c r="H119" s="40"/>
      <c r="I119" s="40"/>
      <c r="J119" s="13"/>
      <c r="L119" s="2"/>
    </row>
    <row r="120" spans="1:12" ht="47.25" x14ac:dyDescent="0.25">
      <c r="A120" s="9"/>
      <c r="B120" s="8"/>
      <c r="C120" s="4"/>
      <c r="D120" s="15" t="s">
        <v>196</v>
      </c>
      <c r="E120" s="40"/>
      <c r="F120" s="40"/>
      <c r="G120" s="13" t="s">
        <v>30</v>
      </c>
      <c r="H120" s="40"/>
      <c r="I120" s="40"/>
      <c r="J120" s="13"/>
      <c r="L120" s="2"/>
    </row>
    <row r="121" spans="1:12" ht="18.75" x14ac:dyDescent="0.25">
      <c r="A121" s="9"/>
      <c r="B121" s="8"/>
      <c r="C121" s="4"/>
      <c r="D121" s="15" t="s">
        <v>181</v>
      </c>
      <c r="E121" s="40"/>
      <c r="F121" s="40">
        <v>1</v>
      </c>
      <c r="G121" s="13" t="s">
        <v>31</v>
      </c>
      <c r="H121" s="40">
        <f>1496.8/F121</f>
        <v>1496.8</v>
      </c>
      <c r="I121" s="40">
        <f>F121*H121</f>
        <v>1496.8</v>
      </c>
      <c r="J121" s="13" t="s">
        <v>118</v>
      </c>
      <c r="L121" s="2"/>
    </row>
    <row r="122" spans="1:12" ht="31.5" x14ac:dyDescent="0.25">
      <c r="A122" s="9"/>
      <c r="B122" s="8"/>
      <c r="C122" s="4"/>
      <c r="D122" s="15" t="s">
        <v>187</v>
      </c>
      <c r="E122" s="40" t="s">
        <v>141</v>
      </c>
      <c r="F122" s="40">
        <f>2+2</f>
        <v>4</v>
      </c>
      <c r="G122" s="13" t="s">
        <v>155</v>
      </c>
      <c r="H122" s="40">
        <f>(12899.4+13489.8)/F122</f>
        <v>6597.2999999999993</v>
      </c>
      <c r="I122" s="54">
        <f>F122*H122</f>
        <v>26389.199999999997</v>
      </c>
      <c r="J122" s="13" t="s">
        <v>150</v>
      </c>
      <c r="L122" s="2"/>
    </row>
    <row r="123" spans="1:12" ht="31.5" x14ac:dyDescent="0.25">
      <c r="A123" s="9"/>
      <c r="B123" s="8"/>
      <c r="C123" s="4"/>
      <c r="D123" s="15" t="s">
        <v>170</v>
      </c>
      <c r="E123" s="40" t="s">
        <v>141</v>
      </c>
      <c r="F123" s="40" t="s">
        <v>141</v>
      </c>
      <c r="G123" s="13" t="s">
        <v>155</v>
      </c>
      <c r="H123" s="40" t="s">
        <v>141</v>
      </c>
      <c r="I123" s="40" t="s">
        <v>141</v>
      </c>
      <c r="J123" s="13"/>
      <c r="L123" s="2"/>
    </row>
    <row r="124" spans="1:12" ht="31.5" x14ac:dyDescent="0.25">
      <c r="A124" s="9"/>
      <c r="B124" s="8"/>
      <c r="C124" s="4"/>
      <c r="D124" s="15" t="s">
        <v>255</v>
      </c>
      <c r="E124" s="40" t="s">
        <v>141</v>
      </c>
      <c r="F124" s="40">
        <f>1</f>
        <v>1</v>
      </c>
      <c r="G124" s="13" t="s">
        <v>30</v>
      </c>
      <c r="H124" s="40">
        <f>1539/F124</f>
        <v>1539</v>
      </c>
      <c r="I124" s="54">
        <f>F124*H124</f>
        <v>1539</v>
      </c>
      <c r="J124" s="13" t="s">
        <v>123</v>
      </c>
      <c r="L124" s="2"/>
    </row>
    <row r="125" spans="1:12" ht="31.5" x14ac:dyDescent="0.25">
      <c r="A125" s="9"/>
      <c r="B125" s="8"/>
      <c r="C125" s="4"/>
      <c r="D125" s="15" t="s">
        <v>259</v>
      </c>
      <c r="E125" s="40" t="s">
        <v>141</v>
      </c>
      <c r="F125" s="40">
        <v>4.5</v>
      </c>
      <c r="G125" s="13" t="s">
        <v>30</v>
      </c>
      <c r="H125" s="43">
        <f>8687/F125</f>
        <v>1930.4444444444443</v>
      </c>
      <c r="I125" s="54">
        <f>F125*H125</f>
        <v>8687</v>
      </c>
      <c r="J125" s="13"/>
      <c r="L125" s="2"/>
    </row>
    <row r="126" spans="1:12" ht="18.75" x14ac:dyDescent="0.25">
      <c r="A126" s="9"/>
      <c r="B126" s="8"/>
      <c r="C126" s="4"/>
      <c r="D126" s="15" t="s">
        <v>184</v>
      </c>
      <c r="E126" s="40" t="s">
        <v>141</v>
      </c>
      <c r="F126" s="40">
        <f>1</f>
        <v>1</v>
      </c>
      <c r="G126" s="13" t="s">
        <v>154</v>
      </c>
      <c r="H126" s="40">
        <f>514/F126</f>
        <v>514</v>
      </c>
      <c r="I126" s="54">
        <f>F126*H126</f>
        <v>514</v>
      </c>
      <c r="J126" s="13"/>
      <c r="L126" s="2"/>
    </row>
    <row r="127" spans="1:12" ht="18.75" x14ac:dyDescent="0.25">
      <c r="A127" s="9" t="s">
        <v>83</v>
      </c>
      <c r="B127" s="8"/>
      <c r="C127" s="4"/>
      <c r="D127" s="15" t="s">
        <v>69</v>
      </c>
      <c r="E127" s="40" t="s">
        <v>141</v>
      </c>
      <c r="F127" s="40" t="s">
        <v>141</v>
      </c>
      <c r="G127" s="13" t="s">
        <v>54</v>
      </c>
      <c r="H127" s="40" t="s">
        <v>141</v>
      </c>
      <c r="I127" s="40" t="s">
        <v>141</v>
      </c>
      <c r="J127" s="13"/>
      <c r="L127" s="2"/>
    </row>
    <row r="128" spans="1:12" ht="31.5" x14ac:dyDescent="0.25">
      <c r="A128" s="9"/>
      <c r="B128" s="8"/>
      <c r="C128" s="4"/>
      <c r="D128" s="15" t="s">
        <v>256</v>
      </c>
      <c r="E128" s="40"/>
      <c r="F128" s="40">
        <f>2+1+1</f>
        <v>4</v>
      </c>
      <c r="G128" s="13" t="s">
        <v>31</v>
      </c>
      <c r="H128" s="40">
        <f>(2727.2+972.4+1383)/F128</f>
        <v>1270.6500000000001</v>
      </c>
      <c r="I128" s="54">
        <f t="shared" ref="I128" si="6">F128*H128</f>
        <v>5082.6000000000004</v>
      </c>
      <c r="J128" s="13" t="s">
        <v>116</v>
      </c>
      <c r="L128" s="2"/>
    </row>
    <row r="129" spans="1:12" ht="31.5" x14ac:dyDescent="0.25">
      <c r="A129" s="9"/>
      <c r="B129" s="8"/>
      <c r="C129" s="4"/>
      <c r="D129" s="15" t="s">
        <v>200</v>
      </c>
      <c r="E129" s="40" t="s">
        <v>141</v>
      </c>
      <c r="F129" s="40">
        <f>1</f>
        <v>1</v>
      </c>
      <c r="G129" s="13" t="s">
        <v>31</v>
      </c>
      <c r="H129" s="40">
        <f>1496.8/F129</f>
        <v>1496.8</v>
      </c>
      <c r="I129" s="40">
        <f>F129*H129</f>
        <v>1496.8</v>
      </c>
      <c r="J129" s="13" t="s">
        <v>118</v>
      </c>
      <c r="L129" s="2"/>
    </row>
    <row r="130" spans="1:12" ht="18.75" x14ac:dyDescent="0.25">
      <c r="A130" s="9"/>
      <c r="B130" s="8"/>
      <c r="C130" s="4"/>
      <c r="D130" s="15" t="s">
        <v>204</v>
      </c>
      <c r="E130" s="40" t="s">
        <v>141</v>
      </c>
      <c r="F130" s="40" t="s">
        <v>141</v>
      </c>
      <c r="G130" s="13" t="s">
        <v>31</v>
      </c>
      <c r="H130" s="40" t="s">
        <v>141</v>
      </c>
      <c r="I130" s="40" t="s">
        <v>141</v>
      </c>
      <c r="J130" s="13"/>
      <c r="L130" s="2"/>
    </row>
    <row r="131" spans="1:12" ht="31.5" x14ac:dyDescent="0.25">
      <c r="A131" s="9" t="s">
        <v>21</v>
      </c>
      <c r="B131" s="8"/>
      <c r="C131" s="4"/>
      <c r="D131" s="15" t="s">
        <v>70</v>
      </c>
      <c r="E131" s="40" t="s">
        <v>141</v>
      </c>
      <c r="F131" s="40" t="s">
        <v>141</v>
      </c>
      <c r="G131" s="13" t="s">
        <v>145</v>
      </c>
      <c r="H131" s="40" t="s">
        <v>141</v>
      </c>
      <c r="I131" s="40" t="s">
        <v>141</v>
      </c>
      <c r="J131" s="13"/>
      <c r="L131" s="2"/>
    </row>
    <row r="132" spans="1:12" ht="18.75" x14ac:dyDescent="0.25">
      <c r="A132" s="45"/>
      <c r="B132" s="46"/>
      <c r="C132" s="22"/>
      <c r="D132" s="29"/>
      <c r="E132" s="44"/>
      <c r="F132" s="44"/>
      <c r="G132" s="30"/>
      <c r="H132" s="40"/>
      <c r="I132" s="43">
        <f>SUM(I108:I131)</f>
        <v>77146.000000000015</v>
      </c>
      <c r="J132" s="13"/>
      <c r="L132" s="2"/>
    </row>
    <row r="133" spans="1:12" ht="18.75" x14ac:dyDescent="0.3">
      <c r="A133" s="64" t="s">
        <v>72</v>
      </c>
      <c r="B133" s="65"/>
      <c r="C133" s="65"/>
      <c r="D133" s="65"/>
      <c r="E133" s="65"/>
      <c r="F133" s="65"/>
      <c r="G133" s="66"/>
      <c r="H133" s="13"/>
      <c r="I133" s="5"/>
      <c r="J133" s="13"/>
      <c r="L133" s="2"/>
    </row>
    <row r="134" spans="1:12" ht="37.5" x14ac:dyDescent="0.25">
      <c r="A134" s="9" t="s">
        <v>92</v>
      </c>
      <c r="B134" s="8"/>
      <c r="C134" s="4"/>
      <c r="D134" s="4" t="s">
        <v>130</v>
      </c>
      <c r="E134" s="30"/>
      <c r="F134" s="13">
        <f>6+4+6+6+6+3+12+12+6+12+8+4</f>
        <v>85</v>
      </c>
      <c r="G134" s="13" t="s">
        <v>115</v>
      </c>
      <c r="H134" s="32">
        <f>(3876.4+2527.8+3790.8+3790.8+2584.8+1938.6+7955.8+7955.8+3978.4+8209+5472+2737)/F134/3</f>
        <v>214.96941176470588</v>
      </c>
      <c r="I134" s="32">
        <f>F134*H134</f>
        <v>18272.400000000001</v>
      </c>
      <c r="J134" s="13" t="s">
        <v>116</v>
      </c>
      <c r="L134" s="2"/>
    </row>
    <row r="135" spans="1:12" ht="31.5" x14ac:dyDescent="0.25">
      <c r="A135" s="9"/>
      <c r="B135" s="8"/>
      <c r="C135" s="4"/>
      <c r="D135" s="15" t="s">
        <v>178</v>
      </c>
      <c r="E135" s="40" t="s">
        <v>141</v>
      </c>
      <c r="F135" s="40" t="s">
        <v>141</v>
      </c>
      <c r="G135" s="13" t="s">
        <v>30</v>
      </c>
      <c r="H135" s="40" t="s">
        <v>141</v>
      </c>
      <c r="I135" s="40" t="s">
        <v>141</v>
      </c>
      <c r="J135" s="13"/>
      <c r="L135" s="2"/>
    </row>
    <row r="136" spans="1:12" ht="31.5" x14ac:dyDescent="0.25">
      <c r="A136" s="9"/>
      <c r="B136" s="8"/>
      <c r="C136" s="4"/>
      <c r="D136" s="15" t="s">
        <v>249</v>
      </c>
      <c r="E136" s="40" t="s">
        <v>141</v>
      </c>
      <c r="F136" s="40">
        <f>1</f>
        <v>1</v>
      </c>
      <c r="G136" s="13" t="s">
        <v>155</v>
      </c>
      <c r="H136" s="40">
        <f>12031.8/F136</f>
        <v>12031.8</v>
      </c>
      <c r="I136" s="54">
        <f>F136*H136</f>
        <v>12031.8</v>
      </c>
      <c r="J136" s="13" t="s">
        <v>250</v>
      </c>
      <c r="L136" s="2"/>
    </row>
    <row r="137" spans="1:12" ht="18.75" x14ac:dyDescent="0.25">
      <c r="A137" s="9"/>
      <c r="B137" s="8"/>
      <c r="C137" s="4"/>
      <c r="D137" s="15" t="s">
        <v>184</v>
      </c>
      <c r="E137" s="40" t="s">
        <v>141</v>
      </c>
      <c r="F137" s="40" t="s">
        <v>141</v>
      </c>
      <c r="G137" s="13" t="s">
        <v>154</v>
      </c>
      <c r="H137" s="40" t="s">
        <v>141</v>
      </c>
      <c r="I137" s="40" t="s">
        <v>141</v>
      </c>
      <c r="J137" s="13"/>
      <c r="L137" s="2"/>
    </row>
    <row r="138" spans="1:12" ht="18.75" x14ac:dyDescent="0.25">
      <c r="A138" s="9"/>
      <c r="B138" s="8"/>
      <c r="C138" s="4"/>
      <c r="D138" s="15" t="s">
        <v>171</v>
      </c>
      <c r="E138" s="40" t="s">
        <v>141</v>
      </c>
      <c r="F138" s="40">
        <f>1</f>
        <v>1</v>
      </c>
      <c r="G138" s="13" t="s">
        <v>154</v>
      </c>
      <c r="H138" s="40">
        <f>943.8/F138</f>
        <v>943.8</v>
      </c>
      <c r="I138" s="54">
        <f>F138*H138</f>
        <v>943.8</v>
      </c>
      <c r="J138" s="13"/>
      <c r="L138" s="2"/>
    </row>
    <row r="139" spans="1:12" ht="18.75" x14ac:dyDescent="0.25">
      <c r="A139" s="9"/>
      <c r="B139" s="8"/>
      <c r="C139" s="4"/>
      <c r="D139" s="15" t="s">
        <v>194</v>
      </c>
      <c r="E139" s="40" t="s">
        <v>141</v>
      </c>
      <c r="F139" s="40" t="s">
        <v>141</v>
      </c>
      <c r="G139" s="13" t="s">
        <v>31</v>
      </c>
      <c r="H139" s="40" t="s">
        <v>141</v>
      </c>
      <c r="I139" s="40" t="s">
        <v>141</v>
      </c>
      <c r="J139" s="13"/>
      <c r="L139" s="2"/>
    </row>
    <row r="140" spans="1:12" ht="18.75" x14ac:dyDescent="0.25">
      <c r="A140" s="9"/>
      <c r="B140" s="8"/>
      <c r="C140" s="4"/>
      <c r="D140" s="15" t="s">
        <v>195</v>
      </c>
      <c r="E140" s="40" t="s">
        <v>141</v>
      </c>
      <c r="F140" s="40" t="s">
        <v>141</v>
      </c>
      <c r="G140" s="13" t="s">
        <v>31</v>
      </c>
      <c r="H140" s="40" t="s">
        <v>141</v>
      </c>
      <c r="I140" s="40" t="s">
        <v>141</v>
      </c>
      <c r="J140" s="13"/>
      <c r="L140" s="2"/>
    </row>
    <row r="141" spans="1:12" ht="18.75" x14ac:dyDescent="0.25">
      <c r="A141" s="9" t="s">
        <v>83</v>
      </c>
      <c r="B141" s="8"/>
      <c r="C141" s="4"/>
      <c r="D141" s="15" t="s">
        <v>69</v>
      </c>
      <c r="E141" s="40" t="s">
        <v>141</v>
      </c>
      <c r="F141" s="40" t="s">
        <v>141</v>
      </c>
      <c r="G141" s="14" t="s">
        <v>54</v>
      </c>
      <c r="H141" s="40" t="s">
        <v>141</v>
      </c>
      <c r="I141" s="40" t="s">
        <v>141</v>
      </c>
      <c r="J141" s="13"/>
      <c r="L141" s="2"/>
    </row>
    <row r="142" spans="1:12" ht="31.5" x14ac:dyDescent="0.25">
      <c r="A142" s="9"/>
      <c r="B142" s="8"/>
      <c r="C142" s="4"/>
      <c r="D142" s="15" t="s">
        <v>238</v>
      </c>
      <c r="E142" s="40" t="s">
        <v>141</v>
      </c>
      <c r="F142" s="40">
        <f>1+1</f>
        <v>2</v>
      </c>
      <c r="G142" s="14" t="s">
        <v>31</v>
      </c>
      <c r="H142" s="40">
        <f>(1573.8+1664.6)/F142</f>
        <v>1619.1999999999998</v>
      </c>
      <c r="I142" s="54">
        <f>F142*H142</f>
        <v>3238.3999999999996</v>
      </c>
      <c r="J142" s="13"/>
      <c r="L142" s="2"/>
    </row>
    <row r="143" spans="1:12" ht="18.75" x14ac:dyDescent="0.25">
      <c r="A143" s="9"/>
      <c r="B143" s="8"/>
      <c r="C143" s="4"/>
      <c r="D143" s="15" t="s">
        <v>251</v>
      </c>
      <c r="E143" s="40"/>
      <c r="F143" s="40">
        <v>1</v>
      </c>
      <c r="G143" s="14" t="s">
        <v>31</v>
      </c>
      <c r="H143" s="40">
        <f>13246.6/F143</f>
        <v>13246.6</v>
      </c>
      <c r="I143" s="54">
        <f>F143*H143</f>
        <v>13246.6</v>
      </c>
      <c r="J143" s="13"/>
      <c r="L143" s="2"/>
    </row>
    <row r="144" spans="1:12" ht="31.5" x14ac:dyDescent="0.25">
      <c r="A144" s="9" t="s">
        <v>21</v>
      </c>
      <c r="B144" s="8"/>
      <c r="C144" s="4"/>
      <c r="D144" s="15" t="s">
        <v>70</v>
      </c>
      <c r="E144" s="40" t="s">
        <v>141</v>
      </c>
      <c r="F144" s="40" t="s">
        <v>141</v>
      </c>
      <c r="G144" s="14" t="s">
        <v>54</v>
      </c>
      <c r="H144" s="40" t="s">
        <v>141</v>
      </c>
      <c r="I144" s="40" t="s">
        <v>141</v>
      </c>
      <c r="J144" s="13"/>
      <c r="L144" s="2"/>
    </row>
    <row r="145" spans="1:12" ht="18.75" x14ac:dyDescent="0.25">
      <c r="A145" s="45"/>
      <c r="B145" s="46"/>
      <c r="C145" s="22"/>
      <c r="D145" s="29"/>
      <c r="E145" s="44"/>
      <c r="F145" s="44"/>
      <c r="G145" s="12"/>
      <c r="H145" s="40"/>
      <c r="I145" s="43">
        <f>SUM(I134:I144)</f>
        <v>47733</v>
      </c>
      <c r="J145" s="13"/>
      <c r="L145" s="2"/>
    </row>
    <row r="146" spans="1:12" ht="18.75" x14ac:dyDescent="0.3">
      <c r="A146" s="64" t="s">
        <v>73</v>
      </c>
      <c r="B146" s="65"/>
      <c r="C146" s="65"/>
      <c r="D146" s="65"/>
      <c r="E146" s="65"/>
      <c r="F146" s="65"/>
      <c r="G146" s="66"/>
      <c r="H146" s="19"/>
      <c r="I146" s="5"/>
      <c r="J146" s="13"/>
      <c r="L146" s="2"/>
    </row>
    <row r="147" spans="1:12" ht="37.5" x14ac:dyDescent="0.25">
      <c r="A147" s="9" t="s">
        <v>98</v>
      </c>
      <c r="B147" s="8"/>
      <c r="C147" s="4"/>
      <c r="D147" s="4" t="s">
        <v>131</v>
      </c>
      <c r="E147" s="30"/>
      <c r="F147" s="13">
        <f>6+4+6+6+6+3+12+12+6+12+8+4</f>
        <v>85</v>
      </c>
      <c r="G147" s="13" t="s">
        <v>115</v>
      </c>
      <c r="H147" s="32">
        <f>(3876.4+2527.8+3790.8+3790.8+2584.8+1938.6+7955.8+7955.8+3978.4+8209+5472+2737)/F147/3</f>
        <v>214.96941176470588</v>
      </c>
      <c r="I147" s="32">
        <f>F147*H147</f>
        <v>18272.400000000001</v>
      </c>
      <c r="J147" s="13" t="s">
        <v>116</v>
      </c>
      <c r="L147" s="2"/>
    </row>
    <row r="148" spans="1:12" ht="31.5" x14ac:dyDescent="0.25">
      <c r="A148" s="9"/>
      <c r="B148" s="8"/>
      <c r="C148" s="4"/>
      <c r="D148" s="15" t="s">
        <v>122</v>
      </c>
      <c r="E148" s="40"/>
      <c r="F148" s="40">
        <f>6+1.7</f>
        <v>7.7</v>
      </c>
      <c r="G148" s="13" t="s">
        <v>30</v>
      </c>
      <c r="H148" s="43">
        <f>(7274+11344.2)/F148</f>
        <v>2417.9480519480521</v>
      </c>
      <c r="I148" s="54">
        <f>F148*H148</f>
        <v>18618.2</v>
      </c>
      <c r="J148" s="13" t="s">
        <v>150</v>
      </c>
      <c r="L148" s="2"/>
    </row>
    <row r="149" spans="1:12" ht="18.75" x14ac:dyDescent="0.25">
      <c r="A149" s="9"/>
      <c r="B149" s="8"/>
      <c r="C149" s="4"/>
      <c r="D149" s="4" t="s">
        <v>114</v>
      </c>
      <c r="E149" s="40"/>
      <c r="F149" s="40">
        <f>6+8+10+6+6+6+6+6+6+12+6+6</f>
        <v>84</v>
      </c>
      <c r="G149" s="13" t="s">
        <v>30</v>
      </c>
      <c r="H149" s="43">
        <f>(1844.4+2408.6+3010.8+1805.6+1844.4+1844.4+1897.2+1897.2+1897.2+391+1954.41+1954.4)/F149</f>
        <v>270.8286904761905</v>
      </c>
      <c r="I149" s="43">
        <f>F149*H149</f>
        <v>22749.61</v>
      </c>
      <c r="J149" s="13" t="s">
        <v>116</v>
      </c>
      <c r="L149" s="2"/>
    </row>
    <row r="150" spans="1:12" ht="18.75" x14ac:dyDescent="0.25">
      <c r="A150" s="9"/>
      <c r="B150" s="8"/>
      <c r="C150" s="4"/>
      <c r="D150" s="4" t="s">
        <v>157</v>
      </c>
      <c r="E150" s="40" t="s">
        <v>141</v>
      </c>
      <c r="F150" s="40" t="s">
        <v>141</v>
      </c>
      <c r="G150" s="13" t="s">
        <v>30</v>
      </c>
      <c r="H150" s="40" t="s">
        <v>141</v>
      </c>
      <c r="I150" s="40" t="s">
        <v>141</v>
      </c>
      <c r="J150" s="13"/>
      <c r="L150" s="2"/>
    </row>
    <row r="151" spans="1:12" ht="18.75" x14ac:dyDescent="0.25">
      <c r="A151" s="9"/>
      <c r="B151" s="8"/>
      <c r="C151" s="4"/>
      <c r="D151" s="4" t="s">
        <v>233</v>
      </c>
      <c r="E151" s="40" t="s">
        <v>141</v>
      </c>
      <c r="F151" s="40">
        <f>6+10+5</f>
        <v>21</v>
      </c>
      <c r="G151" s="13" t="s">
        <v>138</v>
      </c>
      <c r="H151" s="43">
        <f>(360.8+588.6+307.6)/F151</f>
        <v>59.857142857142854</v>
      </c>
      <c r="I151" s="40">
        <f>F151*H151</f>
        <v>1257</v>
      </c>
      <c r="J151" s="13" t="s">
        <v>116</v>
      </c>
      <c r="L151" s="2"/>
    </row>
    <row r="152" spans="1:12" ht="18.75" x14ac:dyDescent="0.25">
      <c r="A152" s="9"/>
      <c r="B152" s="8"/>
      <c r="C152" s="4"/>
      <c r="D152" s="4" t="s">
        <v>182</v>
      </c>
      <c r="E152" s="40" t="s">
        <v>141</v>
      </c>
      <c r="F152" s="40" t="s">
        <v>141</v>
      </c>
      <c r="G152" s="13" t="s">
        <v>138</v>
      </c>
      <c r="H152" s="40" t="s">
        <v>141</v>
      </c>
      <c r="I152" s="40" t="s">
        <v>141</v>
      </c>
      <c r="J152" s="13"/>
      <c r="L152" s="2"/>
    </row>
    <row r="153" spans="1:12" ht="18.75" x14ac:dyDescent="0.25">
      <c r="A153" s="9"/>
      <c r="B153" s="8"/>
      <c r="C153" s="4"/>
      <c r="D153" s="4" t="s">
        <v>193</v>
      </c>
      <c r="E153" s="40" t="s">
        <v>141</v>
      </c>
      <c r="F153" s="40" t="s">
        <v>141</v>
      </c>
      <c r="G153" s="13" t="s">
        <v>31</v>
      </c>
      <c r="H153" s="40" t="s">
        <v>141</v>
      </c>
      <c r="I153" s="40" t="s">
        <v>141</v>
      </c>
      <c r="J153" s="13"/>
      <c r="L153" s="2"/>
    </row>
    <row r="154" spans="1:12" ht="18.75" x14ac:dyDescent="0.25">
      <c r="A154" s="9" t="s">
        <v>22</v>
      </c>
      <c r="B154" s="8"/>
      <c r="C154" s="4"/>
      <c r="D154" s="4" t="s">
        <v>76</v>
      </c>
      <c r="E154" s="40" t="s">
        <v>141</v>
      </c>
      <c r="F154" s="40" t="s">
        <v>141</v>
      </c>
      <c r="G154" s="13" t="s">
        <v>30</v>
      </c>
      <c r="H154" s="40" t="s">
        <v>141</v>
      </c>
      <c r="I154" s="40" t="s">
        <v>141</v>
      </c>
      <c r="J154" s="13"/>
      <c r="L154" s="2"/>
    </row>
    <row r="155" spans="1:12" ht="18.75" x14ac:dyDescent="0.25">
      <c r="A155" s="45"/>
      <c r="B155" s="46"/>
      <c r="C155" s="22"/>
      <c r="D155" s="22"/>
      <c r="E155" s="44"/>
      <c r="F155" s="44"/>
      <c r="G155" s="30"/>
      <c r="H155" s="40"/>
      <c r="I155" s="43">
        <f>SUM(I147:I154)</f>
        <v>60897.210000000006</v>
      </c>
      <c r="J155" s="13"/>
      <c r="L155" s="2"/>
    </row>
    <row r="156" spans="1:12" ht="18.75" x14ac:dyDescent="0.3">
      <c r="A156" s="64" t="s">
        <v>78</v>
      </c>
      <c r="B156" s="65"/>
      <c r="C156" s="65"/>
      <c r="D156" s="65"/>
      <c r="E156" s="65"/>
      <c r="F156" s="65"/>
      <c r="G156" s="66"/>
      <c r="H156" s="5"/>
      <c r="I156" s="5"/>
      <c r="J156" s="13"/>
      <c r="L156" s="2"/>
    </row>
    <row r="157" spans="1:12" ht="38.25" customHeight="1" x14ac:dyDescent="0.25">
      <c r="A157" s="9" t="s">
        <v>23</v>
      </c>
      <c r="B157" s="5"/>
      <c r="C157" s="4"/>
      <c r="D157" s="15" t="s">
        <v>142</v>
      </c>
      <c r="E157" s="40"/>
      <c r="F157" s="40">
        <v>2</v>
      </c>
      <c r="G157" s="13" t="s">
        <v>54</v>
      </c>
      <c r="H157" s="40">
        <f>11520.4/F157</f>
        <v>5760.2</v>
      </c>
      <c r="I157" s="40">
        <f>F157*H157</f>
        <v>11520.4</v>
      </c>
      <c r="J157" s="13" t="s">
        <v>123</v>
      </c>
      <c r="L157" s="2"/>
    </row>
    <row r="158" spans="1:12" ht="38.25" customHeight="1" x14ac:dyDescent="0.25">
      <c r="A158" s="9"/>
      <c r="B158" s="5"/>
      <c r="C158" s="4"/>
      <c r="D158" s="15" t="s">
        <v>198</v>
      </c>
      <c r="E158" s="40"/>
      <c r="F158" s="40"/>
      <c r="G158" s="13" t="s">
        <v>31</v>
      </c>
      <c r="H158" s="40" t="s">
        <v>141</v>
      </c>
      <c r="I158" s="40" t="s">
        <v>141</v>
      </c>
      <c r="J158" s="13"/>
      <c r="L158" s="2"/>
    </row>
    <row r="159" spans="1:12" ht="38.25" customHeight="1" x14ac:dyDescent="0.25">
      <c r="A159" s="9"/>
      <c r="B159" s="5"/>
      <c r="C159" s="4"/>
      <c r="D159" s="15" t="s">
        <v>167</v>
      </c>
      <c r="E159" s="40"/>
      <c r="F159" s="40"/>
      <c r="G159" s="13" t="s">
        <v>31</v>
      </c>
      <c r="H159" s="40" t="s">
        <v>141</v>
      </c>
      <c r="I159" s="40" t="s">
        <v>141</v>
      </c>
      <c r="J159" s="13"/>
      <c r="L159" s="2"/>
    </row>
    <row r="160" spans="1:12" ht="18.75" x14ac:dyDescent="0.25">
      <c r="A160" s="9" t="s">
        <v>24</v>
      </c>
      <c r="B160" s="5"/>
      <c r="C160" s="4"/>
      <c r="D160" s="4" t="s">
        <v>77</v>
      </c>
      <c r="E160" s="40"/>
      <c r="F160" s="40"/>
      <c r="G160" s="13" t="s">
        <v>54</v>
      </c>
      <c r="H160" s="40" t="s">
        <v>141</v>
      </c>
      <c r="I160" s="40" t="s">
        <v>141</v>
      </c>
      <c r="J160" s="13"/>
      <c r="L160" s="2"/>
    </row>
    <row r="161" spans="1:12" ht="18.75" x14ac:dyDescent="0.25">
      <c r="A161" s="9"/>
      <c r="B161" s="5"/>
      <c r="C161" s="4"/>
      <c r="D161" s="4" t="s">
        <v>228</v>
      </c>
      <c r="E161" s="40"/>
      <c r="F161" s="40"/>
      <c r="G161" s="13" t="s">
        <v>31</v>
      </c>
      <c r="H161" s="40"/>
      <c r="I161" s="40"/>
      <c r="J161" s="13"/>
      <c r="L161" s="2"/>
    </row>
    <row r="162" spans="1:12" ht="31.5" x14ac:dyDescent="0.25">
      <c r="A162" s="9" t="s">
        <v>127</v>
      </c>
      <c r="B162" s="5"/>
      <c r="C162" s="4"/>
      <c r="D162" s="15" t="s">
        <v>211</v>
      </c>
      <c r="E162" s="40"/>
      <c r="F162" s="40"/>
      <c r="G162" s="13" t="s">
        <v>54</v>
      </c>
      <c r="H162" s="40"/>
      <c r="I162" s="40"/>
      <c r="J162" s="13"/>
      <c r="L162" s="2"/>
    </row>
    <row r="163" spans="1:12" ht="31.5" x14ac:dyDescent="0.25">
      <c r="A163" s="9"/>
      <c r="B163" s="5"/>
      <c r="C163" s="4"/>
      <c r="D163" s="15" t="s">
        <v>152</v>
      </c>
      <c r="E163" s="40"/>
      <c r="F163" s="40"/>
      <c r="G163" s="13" t="s">
        <v>54</v>
      </c>
      <c r="H163" s="40"/>
      <c r="I163" s="40"/>
      <c r="J163" s="13"/>
      <c r="L163" s="2"/>
    </row>
    <row r="164" spans="1:12" ht="18.75" x14ac:dyDescent="0.25">
      <c r="A164" s="9"/>
      <c r="B164" s="5"/>
      <c r="C164" s="4"/>
      <c r="D164" s="15" t="s">
        <v>168</v>
      </c>
      <c r="E164" s="40"/>
      <c r="F164" s="40">
        <f>10</f>
        <v>10</v>
      </c>
      <c r="G164" s="13" t="s">
        <v>148</v>
      </c>
      <c r="H164" s="40">
        <f>1961/F164</f>
        <v>196.1</v>
      </c>
      <c r="I164" s="54">
        <f t="shared" ref="I164:I168" si="7">F164*H164</f>
        <v>1961</v>
      </c>
      <c r="J164" s="13" t="s">
        <v>230</v>
      </c>
      <c r="L164" s="2"/>
    </row>
    <row r="165" spans="1:12" ht="18.75" x14ac:dyDescent="0.25">
      <c r="A165" s="9"/>
      <c r="B165" s="5"/>
      <c r="C165" s="4"/>
      <c r="D165" s="15" t="s">
        <v>260</v>
      </c>
      <c r="E165" s="40"/>
      <c r="F165" s="40">
        <f>1</f>
        <v>1</v>
      </c>
      <c r="G165" s="13" t="s">
        <v>31</v>
      </c>
      <c r="H165" s="40">
        <f>4857.4/F165</f>
        <v>4857.3999999999996</v>
      </c>
      <c r="I165" s="55">
        <f t="shared" si="7"/>
        <v>4857.3999999999996</v>
      </c>
      <c r="J165" s="13" t="s">
        <v>230</v>
      </c>
      <c r="L165" s="2"/>
    </row>
    <row r="166" spans="1:12" ht="18.75" x14ac:dyDescent="0.25">
      <c r="A166" s="9"/>
      <c r="B166" s="5"/>
      <c r="C166" s="4"/>
      <c r="D166" s="15" t="s">
        <v>264</v>
      </c>
      <c r="E166" s="40"/>
      <c r="F166" s="40">
        <f>4+8</f>
        <v>12</v>
      </c>
      <c r="G166" s="13" t="s">
        <v>148</v>
      </c>
      <c r="H166" s="43">
        <f>(1049.2+2390.2)/F166</f>
        <v>286.61666666666662</v>
      </c>
      <c r="I166" s="54">
        <f t="shared" si="7"/>
        <v>3439.3999999999996</v>
      </c>
      <c r="J166" s="13" t="s">
        <v>118</v>
      </c>
      <c r="L166" s="2"/>
    </row>
    <row r="167" spans="1:12" ht="31.5" x14ac:dyDescent="0.25">
      <c r="A167" s="9"/>
      <c r="B167" s="5"/>
      <c r="C167" s="4"/>
      <c r="D167" s="15" t="s">
        <v>128</v>
      </c>
      <c r="E167" s="40"/>
      <c r="F167" s="40">
        <f>1</f>
        <v>1</v>
      </c>
      <c r="G167" s="13" t="s">
        <v>31</v>
      </c>
      <c r="H167" s="43">
        <f>1655.8/F167</f>
        <v>1655.8</v>
      </c>
      <c r="I167" s="55">
        <f t="shared" si="7"/>
        <v>1655.8</v>
      </c>
      <c r="J167" s="13" t="s">
        <v>118</v>
      </c>
      <c r="L167" s="2"/>
    </row>
    <row r="168" spans="1:12" ht="18.75" x14ac:dyDescent="0.25">
      <c r="A168" s="9"/>
      <c r="B168" s="5"/>
      <c r="C168" s="4"/>
      <c r="D168" s="15" t="s">
        <v>179</v>
      </c>
      <c r="E168" s="40"/>
      <c r="F168" s="40">
        <f>2+3+4</f>
        <v>9</v>
      </c>
      <c r="G168" s="13" t="s">
        <v>54</v>
      </c>
      <c r="H168" s="43">
        <f>(144.6+215.4+290)/F168</f>
        <v>72.222222222222229</v>
      </c>
      <c r="I168" s="40">
        <f t="shared" si="7"/>
        <v>650</v>
      </c>
      <c r="J168" s="13" t="s">
        <v>116</v>
      </c>
      <c r="L168" s="2"/>
    </row>
    <row r="169" spans="1:12" ht="18.75" x14ac:dyDescent="0.25">
      <c r="A169" s="9"/>
      <c r="B169" s="5"/>
      <c r="C169" s="4"/>
      <c r="D169" s="15" t="s">
        <v>106</v>
      </c>
      <c r="E169" s="31"/>
      <c r="F169" s="13">
        <f>10+6+4+3+4+11+8+6+10+12+8</f>
        <v>82</v>
      </c>
      <c r="G169" s="13" t="s">
        <v>54</v>
      </c>
      <c r="H169" s="32">
        <f>(1695+1007+672.4+507.8+677.6+1881+1369.4+1026.6+1730.6+2076.4+1383.8)/F169</f>
        <v>171.06829268292682</v>
      </c>
      <c r="I169" s="13">
        <f t="shared" ref="I169" si="8">F169*H169</f>
        <v>14027.6</v>
      </c>
      <c r="J169" s="13" t="s">
        <v>116</v>
      </c>
      <c r="L169" s="2"/>
    </row>
    <row r="170" spans="1:12" ht="18.75" x14ac:dyDescent="0.25">
      <c r="A170" s="9"/>
      <c r="B170" s="5"/>
      <c r="C170" s="4"/>
      <c r="D170" s="15" t="s">
        <v>210</v>
      </c>
      <c r="E170" s="40"/>
      <c r="F170" s="40"/>
      <c r="G170" s="13" t="s">
        <v>31</v>
      </c>
      <c r="H170" s="40"/>
      <c r="I170" s="40"/>
      <c r="J170" s="13"/>
      <c r="L170" s="2"/>
    </row>
    <row r="171" spans="1:12" ht="18.75" x14ac:dyDescent="0.25">
      <c r="A171" s="9"/>
      <c r="B171" s="5"/>
      <c r="C171" s="4"/>
      <c r="D171" s="15" t="s">
        <v>192</v>
      </c>
      <c r="E171" s="40"/>
      <c r="F171" s="40"/>
      <c r="G171" s="13" t="s">
        <v>31</v>
      </c>
      <c r="H171" s="40" t="s">
        <v>141</v>
      </c>
      <c r="I171" s="40" t="s">
        <v>141</v>
      </c>
      <c r="J171" s="13"/>
      <c r="L171" s="2"/>
    </row>
    <row r="172" spans="1:12" ht="56.25" x14ac:dyDescent="0.25">
      <c r="A172" s="9" t="s">
        <v>107</v>
      </c>
      <c r="B172" s="5"/>
      <c r="C172" s="4"/>
      <c r="D172" s="15" t="s">
        <v>125</v>
      </c>
      <c r="E172" s="31"/>
      <c r="F172" s="13">
        <f>45+45+45+45+45+45+45+45+45+45+45+45</f>
        <v>540</v>
      </c>
      <c r="G172" s="13" t="s">
        <v>108</v>
      </c>
      <c r="H172" s="32">
        <f>(1816.6+1773.6+1773.6+1773.6+2422.2+1816.6+1816.6+1862.4+1862.4+1862.4+1920.6+1920.6+1920.6)/F172</f>
        <v>45.447777777777773</v>
      </c>
      <c r="I172" s="13">
        <f>F172*H172</f>
        <v>24541.8</v>
      </c>
      <c r="J172" s="13" t="s">
        <v>116</v>
      </c>
      <c r="L172" s="2"/>
    </row>
    <row r="173" spans="1:12" ht="18.75" x14ac:dyDescent="0.25">
      <c r="A173" s="45"/>
      <c r="B173" s="22"/>
      <c r="C173" s="22"/>
      <c r="D173" s="29"/>
      <c r="E173" s="47"/>
      <c r="F173" s="48"/>
      <c r="G173" s="30"/>
      <c r="H173" s="30"/>
      <c r="I173" s="32">
        <f>SUM(I157:I172)</f>
        <v>62653.399999999994</v>
      </c>
      <c r="J173" s="13"/>
      <c r="L173" s="2"/>
    </row>
    <row r="174" spans="1:12" ht="18.75" x14ac:dyDescent="0.25">
      <c r="A174" s="71" t="s">
        <v>91</v>
      </c>
      <c r="B174" s="72"/>
      <c r="C174" s="72"/>
      <c r="D174" s="72"/>
      <c r="E174" s="72"/>
      <c r="F174" s="72"/>
      <c r="G174" s="73"/>
      <c r="H174" s="12"/>
      <c r="I174" s="5"/>
      <c r="J174" s="13"/>
      <c r="L174" s="2"/>
    </row>
    <row r="175" spans="1:12" ht="18.75" x14ac:dyDescent="0.25">
      <c r="A175" s="25"/>
      <c r="B175" s="26"/>
      <c r="C175" s="26"/>
      <c r="D175" s="35" t="s">
        <v>117</v>
      </c>
      <c r="E175" s="40"/>
      <c r="F175" s="40">
        <f>1+1+2+1</f>
        <v>5</v>
      </c>
      <c r="G175" s="37" t="s">
        <v>31</v>
      </c>
      <c r="H175" s="40">
        <f>(1232+2422.2+1291.4)/F175</f>
        <v>989.12000000000012</v>
      </c>
      <c r="I175" s="40">
        <f>F175*H175</f>
        <v>4945.6000000000004</v>
      </c>
      <c r="J175" s="13" t="s">
        <v>150</v>
      </c>
      <c r="L175" s="2"/>
    </row>
    <row r="176" spans="1:12" ht="63" x14ac:dyDescent="0.25">
      <c r="A176" s="9" t="s">
        <v>89</v>
      </c>
      <c r="B176" s="22"/>
      <c r="C176" s="22"/>
      <c r="D176" s="23" t="s">
        <v>119</v>
      </c>
      <c r="E176" s="36">
        <v>1804</v>
      </c>
      <c r="F176" s="13">
        <v>1804</v>
      </c>
      <c r="G176" s="30" t="s">
        <v>90</v>
      </c>
      <c r="H176" s="30">
        <v>4.8</v>
      </c>
      <c r="I176" s="13">
        <f>F176*H176*12</f>
        <v>103910.39999999999</v>
      </c>
      <c r="J176" s="13" t="s">
        <v>116</v>
      </c>
      <c r="L176" s="2"/>
    </row>
    <row r="177" spans="1:12" ht="18.75" x14ac:dyDescent="0.25">
      <c r="A177" s="45"/>
      <c r="B177" s="22"/>
      <c r="C177" s="22"/>
      <c r="D177" s="29"/>
      <c r="E177" s="47"/>
      <c r="F177" s="48"/>
      <c r="G177" s="30"/>
      <c r="H177" s="30"/>
      <c r="I177" s="13">
        <f>SUM(I175:I176)</f>
        <v>108856</v>
      </c>
      <c r="J177" s="13"/>
      <c r="L177" s="2"/>
    </row>
    <row r="178" spans="1:12" ht="18.75" x14ac:dyDescent="0.3">
      <c r="A178" s="64" t="s">
        <v>79</v>
      </c>
      <c r="B178" s="65"/>
      <c r="C178" s="65"/>
      <c r="D178" s="65"/>
      <c r="E178" s="65"/>
      <c r="F178" s="65"/>
      <c r="G178" s="66"/>
      <c r="H178" s="19"/>
      <c r="I178" s="5"/>
      <c r="J178" s="13"/>
      <c r="L178" s="2"/>
    </row>
    <row r="179" spans="1:12" ht="46.5" customHeight="1" x14ac:dyDescent="0.3">
      <c r="A179" s="33" t="s">
        <v>133</v>
      </c>
      <c r="B179" s="24"/>
      <c r="C179" s="24"/>
      <c r="D179" s="34" t="s">
        <v>132</v>
      </c>
      <c r="E179" s="13">
        <v>360</v>
      </c>
      <c r="F179" s="13">
        <v>360</v>
      </c>
      <c r="G179" s="13" t="s">
        <v>140</v>
      </c>
      <c r="H179" s="13">
        <v>13</v>
      </c>
      <c r="I179" s="13">
        <f>F179*H179*3</f>
        <v>14040</v>
      </c>
      <c r="J179" s="13" t="s">
        <v>151</v>
      </c>
      <c r="L179" s="2"/>
    </row>
    <row r="180" spans="1:12" ht="18.75" x14ac:dyDescent="0.25">
      <c r="A180" s="9" t="s">
        <v>25</v>
      </c>
      <c r="B180" s="5"/>
      <c r="C180" s="4"/>
      <c r="D180" s="4" t="s">
        <v>75</v>
      </c>
      <c r="E180" s="40" t="s">
        <v>141</v>
      </c>
      <c r="F180" s="40" t="s">
        <v>141</v>
      </c>
      <c r="G180" s="14" t="s">
        <v>54</v>
      </c>
      <c r="H180" s="40" t="s">
        <v>141</v>
      </c>
      <c r="I180" s="40" t="s">
        <v>141</v>
      </c>
      <c r="J180" s="13"/>
      <c r="L180" s="2"/>
    </row>
    <row r="181" spans="1:12" ht="47.25" x14ac:dyDescent="0.25">
      <c r="A181" s="9" t="s">
        <v>26</v>
      </c>
      <c r="B181" s="5"/>
      <c r="C181" s="4"/>
      <c r="D181" s="15" t="s">
        <v>28</v>
      </c>
      <c r="E181" s="40" t="s">
        <v>141</v>
      </c>
      <c r="F181" s="40" t="s">
        <v>141</v>
      </c>
      <c r="G181" s="14" t="s">
        <v>54</v>
      </c>
      <c r="H181" s="40" t="s">
        <v>141</v>
      </c>
      <c r="I181" s="40" t="s">
        <v>141</v>
      </c>
      <c r="J181" s="13"/>
      <c r="L181" s="2"/>
    </row>
    <row r="182" spans="1:12" ht="31.5" x14ac:dyDescent="0.25">
      <c r="A182" s="9" t="s">
        <v>27</v>
      </c>
      <c r="B182" s="5"/>
      <c r="C182" s="4"/>
      <c r="D182" s="15" t="s">
        <v>74</v>
      </c>
      <c r="E182" s="40" t="s">
        <v>141</v>
      </c>
      <c r="F182" s="40" t="s">
        <v>141</v>
      </c>
      <c r="G182" s="14" t="s">
        <v>54</v>
      </c>
      <c r="H182" s="40" t="s">
        <v>141</v>
      </c>
      <c r="I182" s="40" t="s">
        <v>141</v>
      </c>
      <c r="J182" s="13"/>
      <c r="L182" s="2"/>
    </row>
    <row r="183" spans="1:12" ht="18.75" x14ac:dyDescent="0.25">
      <c r="A183" s="45"/>
      <c r="B183" s="22"/>
      <c r="C183" s="22"/>
      <c r="D183" s="29"/>
      <c r="E183" s="44"/>
      <c r="F183" s="44"/>
      <c r="G183" s="12"/>
      <c r="H183" s="49"/>
      <c r="I183" s="49">
        <f>SUM(I179:I182)</f>
        <v>14040</v>
      </c>
      <c r="J183" s="50"/>
      <c r="L183" s="2"/>
    </row>
    <row r="184" spans="1:12" ht="18.75" x14ac:dyDescent="0.3">
      <c r="A184" s="64" t="s">
        <v>84</v>
      </c>
      <c r="B184" s="65"/>
      <c r="C184" s="65"/>
      <c r="D184" s="65"/>
      <c r="E184" s="65"/>
      <c r="F184" s="65"/>
      <c r="G184" s="66"/>
      <c r="H184" s="2"/>
      <c r="I184" s="2"/>
      <c r="J184" s="2"/>
      <c r="K184" s="2"/>
      <c r="L184" s="2"/>
    </row>
    <row r="185" spans="1:12" ht="48" x14ac:dyDescent="0.3">
      <c r="A185" s="6" t="s">
        <v>66</v>
      </c>
      <c r="B185" s="6"/>
      <c r="C185" s="4"/>
      <c r="D185" s="15" t="s">
        <v>85</v>
      </c>
      <c r="E185" s="40"/>
      <c r="F185" s="40"/>
      <c r="G185" s="13" t="s">
        <v>113</v>
      </c>
      <c r="H185" s="40"/>
      <c r="I185" s="43"/>
      <c r="J185" s="38"/>
      <c r="L185" s="2"/>
    </row>
    <row r="186" spans="1:12" ht="18.75" x14ac:dyDescent="0.3">
      <c r="A186" s="27"/>
      <c r="B186" s="28"/>
      <c r="C186" s="22"/>
      <c r="D186" s="29" t="s">
        <v>265</v>
      </c>
      <c r="E186" s="40"/>
      <c r="F186" s="40">
        <v>1</v>
      </c>
      <c r="G186" s="13" t="s">
        <v>31</v>
      </c>
      <c r="H186" s="40">
        <f>1585</f>
        <v>1585</v>
      </c>
      <c r="I186" s="55">
        <f>F186*H186</f>
        <v>1585</v>
      </c>
      <c r="J186" s="38" t="s">
        <v>121</v>
      </c>
      <c r="L186" s="2"/>
    </row>
    <row r="187" spans="1:12" ht="32.25" x14ac:dyDescent="0.3">
      <c r="A187" s="27"/>
      <c r="B187" s="28"/>
      <c r="C187" s="22"/>
      <c r="D187" s="29" t="s">
        <v>109</v>
      </c>
      <c r="E187" s="40">
        <v>1</v>
      </c>
      <c r="F187" s="40">
        <v>1</v>
      </c>
      <c r="G187" s="13" t="s">
        <v>110</v>
      </c>
      <c r="H187" s="40">
        <v>19125</v>
      </c>
      <c r="I187" s="42">
        <f>F187*H187</f>
        <v>19125</v>
      </c>
      <c r="J187" s="38" t="s">
        <v>118</v>
      </c>
      <c r="L187" s="2"/>
    </row>
    <row r="188" spans="1:12" ht="18.75" x14ac:dyDescent="0.3">
      <c r="A188" s="27"/>
      <c r="B188" s="28"/>
      <c r="C188" s="22"/>
      <c r="D188" s="29"/>
      <c r="E188" s="44"/>
      <c r="F188" s="44"/>
      <c r="G188" s="30"/>
      <c r="H188" s="44"/>
      <c r="I188" s="52">
        <f>SUM(I185:I187)</f>
        <v>20710</v>
      </c>
      <c r="J188" s="51"/>
      <c r="L188" s="2"/>
    </row>
    <row r="189" spans="1:12" ht="18.75" x14ac:dyDescent="0.3">
      <c r="A189" s="64" t="s">
        <v>99</v>
      </c>
      <c r="B189" s="65"/>
      <c r="C189" s="65"/>
      <c r="D189" s="65"/>
      <c r="E189" s="65"/>
      <c r="F189" s="65"/>
      <c r="G189" s="66"/>
      <c r="H189" s="64"/>
      <c r="I189" s="65"/>
      <c r="J189" s="65"/>
      <c r="L189" s="2"/>
    </row>
    <row r="190" spans="1:12" ht="32.25" x14ac:dyDescent="0.3">
      <c r="A190" s="33" t="s">
        <v>149</v>
      </c>
      <c r="B190" s="24"/>
      <c r="C190" s="24"/>
      <c r="D190" s="39" t="s">
        <v>135</v>
      </c>
      <c r="E190" s="13"/>
      <c r="F190" s="13">
        <f>2+2</f>
        <v>4</v>
      </c>
      <c r="G190" s="13" t="s">
        <v>136</v>
      </c>
      <c r="H190" s="13">
        <v>800</v>
      </c>
      <c r="I190" s="56">
        <f t="shared" ref="I190:I197" si="9">F190*H190</f>
        <v>3200</v>
      </c>
      <c r="J190" s="13" t="s">
        <v>124</v>
      </c>
      <c r="L190" s="2"/>
    </row>
    <row r="191" spans="1:12" ht="48" x14ac:dyDescent="0.3">
      <c r="A191" s="24"/>
      <c r="B191" s="24"/>
      <c r="C191" s="24"/>
      <c r="D191" s="39" t="s">
        <v>137</v>
      </c>
      <c r="E191" s="40"/>
      <c r="F191" s="40"/>
      <c r="G191" s="13" t="s">
        <v>138</v>
      </c>
      <c r="H191" s="40"/>
      <c r="I191" s="43"/>
      <c r="J191" s="13"/>
      <c r="L191" s="2"/>
    </row>
    <row r="192" spans="1:12" ht="42.75" customHeight="1" x14ac:dyDescent="0.3">
      <c r="A192" s="24"/>
      <c r="B192" s="24"/>
      <c r="C192" s="24"/>
      <c r="D192" s="39" t="s">
        <v>239</v>
      </c>
      <c r="E192" s="13"/>
      <c r="F192" s="13">
        <f>20+130+60+20+210</f>
        <v>440</v>
      </c>
      <c r="G192" s="13" t="s">
        <v>139</v>
      </c>
      <c r="H192" s="32">
        <f>(1000+6500+3000+688+9624)/F192</f>
        <v>47.3</v>
      </c>
      <c r="I192" s="56">
        <f t="shared" si="9"/>
        <v>20812</v>
      </c>
      <c r="J192" s="13" t="s">
        <v>124</v>
      </c>
      <c r="L192" s="2"/>
    </row>
    <row r="193" spans="1:12" ht="42.75" customHeight="1" x14ac:dyDescent="0.3">
      <c r="A193" s="24"/>
      <c r="B193" s="24"/>
      <c r="C193" s="24"/>
      <c r="D193" s="39" t="s">
        <v>240</v>
      </c>
      <c r="E193" s="13"/>
      <c r="F193" s="13">
        <f>10+35+25</f>
        <v>70</v>
      </c>
      <c r="G193" s="13" t="s">
        <v>139</v>
      </c>
      <c r="H193" s="32">
        <f>(417+1458+1042)/F193</f>
        <v>41.671428571428571</v>
      </c>
      <c r="I193" s="56">
        <f t="shared" ref="I193" si="10">F193*H193</f>
        <v>2917</v>
      </c>
      <c r="J193" s="13" t="s">
        <v>124</v>
      </c>
      <c r="L193" s="2"/>
    </row>
    <row r="194" spans="1:12" ht="48" x14ac:dyDescent="0.3">
      <c r="A194" s="24"/>
      <c r="B194" s="24"/>
      <c r="C194" s="24"/>
      <c r="D194" s="39" t="s">
        <v>236</v>
      </c>
      <c r="E194" s="13"/>
      <c r="F194" s="13">
        <f>40</f>
        <v>40</v>
      </c>
      <c r="G194" s="13" t="s">
        <v>113</v>
      </c>
      <c r="H194" s="13">
        <f>23031.6/F194</f>
        <v>575.79</v>
      </c>
      <c r="I194" s="56">
        <f>F194*H194</f>
        <v>23031.599999999999</v>
      </c>
      <c r="J194" s="13" t="s">
        <v>123</v>
      </c>
      <c r="L194" s="2"/>
    </row>
    <row r="195" spans="1:12" ht="18.75" x14ac:dyDescent="0.3">
      <c r="A195" s="24"/>
      <c r="B195" s="24"/>
      <c r="C195" s="24"/>
      <c r="D195" s="39" t="s">
        <v>227</v>
      </c>
      <c r="E195" s="13"/>
      <c r="F195" s="13"/>
      <c r="G195" s="13" t="s">
        <v>113</v>
      </c>
      <c r="H195" s="13"/>
      <c r="I195" s="32"/>
      <c r="J195" s="13"/>
      <c r="L195" s="2"/>
    </row>
    <row r="196" spans="1:12" ht="48" x14ac:dyDescent="0.3">
      <c r="A196" s="24"/>
      <c r="B196" s="24"/>
      <c r="C196" s="24"/>
      <c r="D196" s="39" t="s">
        <v>261</v>
      </c>
      <c r="E196" s="30"/>
      <c r="F196" s="30">
        <v>1</v>
      </c>
      <c r="G196" s="13" t="s">
        <v>145</v>
      </c>
      <c r="H196" s="30">
        <f>27000/F196</f>
        <v>27000</v>
      </c>
      <c r="I196" s="57">
        <f>F196*H196</f>
        <v>27000</v>
      </c>
      <c r="J196" s="13" t="s">
        <v>118</v>
      </c>
      <c r="L196" s="2"/>
    </row>
    <row r="197" spans="1:12" ht="32.25" x14ac:dyDescent="0.3">
      <c r="A197" s="24"/>
      <c r="B197" s="24"/>
      <c r="C197" s="24"/>
      <c r="D197" s="39" t="s">
        <v>199</v>
      </c>
      <c r="E197" s="13"/>
      <c r="F197" s="13">
        <f>22.5</f>
        <v>22.5</v>
      </c>
      <c r="G197" s="13" t="s">
        <v>113</v>
      </c>
      <c r="H197" s="32">
        <f>3417/F197</f>
        <v>151.86666666666667</v>
      </c>
      <c r="I197" s="56">
        <f t="shared" si="9"/>
        <v>3417</v>
      </c>
      <c r="J197" s="13" t="s">
        <v>123</v>
      </c>
      <c r="L197" s="2"/>
    </row>
    <row r="198" spans="1:12" ht="18.75" x14ac:dyDescent="0.3">
      <c r="A198" s="24"/>
      <c r="B198" s="24"/>
      <c r="C198" s="24"/>
      <c r="D198" s="39" t="s">
        <v>257</v>
      </c>
      <c r="E198" s="40"/>
      <c r="F198" s="40">
        <f>4</f>
        <v>4</v>
      </c>
      <c r="G198" s="13" t="s">
        <v>31</v>
      </c>
      <c r="H198" s="40">
        <f>2680/F198</f>
        <v>670</v>
      </c>
      <c r="I198" s="55">
        <f>F198*H198</f>
        <v>2680</v>
      </c>
      <c r="J198" s="13" t="s">
        <v>123</v>
      </c>
      <c r="L198" s="2"/>
    </row>
    <row r="199" spans="1:12" ht="18.75" x14ac:dyDescent="0.3">
      <c r="A199" s="24"/>
      <c r="B199" s="24"/>
      <c r="C199" s="24"/>
      <c r="D199" s="39" t="s">
        <v>258</v>
      </c>
      <c r="E199" s="40"/>
      <c r="F199" s="40">
        <v>1</v>
      </c>
      <c r="G199" s="13" t="s">
        <v>31</v>
      </c>
      <c r="H199" s="40">
        <f>6200</f>
        <v>6200</v>
      </c>
      <c r="I199" s="55">
        <f>F199*H199</f>
        <v>6200</v>
      </c>
      <c r="J199" s="13" t="s">
        <v>118</v>
      </c>
      <c r="L199" s="2"/>
    </row>
    <row r="200" spans="1:12" ht="18.75" x14ac:dyDescent="0.3">
      <c r="A200" s="33" t="s">
        <v>162</v>
      </c>
      <c r="B200" s="14"/>
      <c r="C200" s="14"/>
      <c r="D200" s="39" t="s">
        <v>197</v>
      </c>
      <c r="E200" s="40" t="s">
        <v>141</v>
      </c>
      <c r="F200" s="40" t="s">
        <v>141</v>
      </c>
      <c r="G200" s="13" t="s">
        <v>31</v>
      </c>
      <c r="H200" s="40" t="s">
        <v>141</v>
      </c>
      <c r="I200" s="43" t="s">
        <v>141</v>
      </c>
      <c r="J200" s="14"/>
      <c r="L200" s="2"/>
    </row>
    <row r="201" spans="1:12" ht="18.75" x14ac:dyDescent="0.3">
      <c r="A201" s="33"/>
      <c r="B201" s="14"/>
      <c r="C201" s="14"/>
      <c r="D201" s="39"/>
      <c r="E201" s="40"/>
      <c r="F201" s="40"/>
      <c r="G201" s="13"/>
      <c r="H201" s="40"/>
      <c r="I201" s="43">
        <f>SUM(I190:I200)</f>
        <v>89257.600000000006</v>
      </c>
      <c r="J201" s="14"/>
      <c r="L201" s="2"/>
    </row>
    <row r="202" spans="1:12" ht="18.75" x14ac:dyDescent="0.3">
      <c r="A202" s="60" t="s">
        <v>272</v>
      </c>
      <c r="B202" s="14"/>
      <c r="C202" s="14"/>
      <c r="D202" s="39"/>
      <c r="E202" s="40"/>
      <c r="F202" s="40"/>
      <c r="G202" s="13"/>
      <c r="H202" s="40"/>
      <c r="I202" s="53">
        <f>I6+I21+I24+I27+I29+I42+I43+I44+I45+I46+I47+I50+I51+I54+I57+I58+I59+I60+I61+I62+I63+I64+I65+I66+I67+I68+I69+I70+I74+I92+I95+I111+I115+I116+I117+I118+I122+I124+I125+I126+I128+I136+I138+I142+I143+I148+I164+I165+I166+I167+I186+I190+I192+I193+I194+I196+I197+I198+I199</f>
        <v>1160025.1999999997</v>
      </c>
      <c r="J202" s="14"/>
      <c r="L202" s="2"/>
    </row>
    <row r="203" spans="1:12" ht="18.75" x14ac:dyDescent="0.3">
      <c r="A203" s="60" t="s">
        <v>231</v>
      </c>
      <c r="B203" s="14"/>
      <c r="C203" s="14"/>
      <c r="D203" s="39"/>
      <c r="E203" s="40"/>
      <c r="F203" s="40"/>
      <c r="G203" s="13"/>
      <c r="H203" s="40"/>
      <c r="I203" s="53">
        <f>I15+I40+I77+I106+I132+I145+I155+I173+I177+I183+I188+I201</f>
        <v>8585952.4100000001</v>
      </c>
      <c r="J203" s="14"/>
      <c r="L203" s="2"/>
    </row>
    <row r="204" spans="1:12" ht="99.75" customHeight="1" x14ac:dyDescent="0.25">
      <c r="A204" s="61" t="s">
        <v>105</v>
      </c>
      <c r="B204" s="61"/>
      <c r="C204" s="61"/>
      <c r="D204" s="61"/>
      <c r="E204" s="61"/>
      <c r="F204" s="61"/>
      <c r="G204" s="61"/>
      <c r="H204" s="61"/>
      <c r="I204" s="61"/>
      <c r="J204" s="61"/>
      <c r="K204" s="2"/>
      <c r="L204" s="58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58"/>
      <c r="J207" s="2"/>
      <c r="K207" s="58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</sheetData>
  <mergeCells count="16">
    <mergeCell ref="A204:J204"/>
    <mergeCell ref="A2:J2"/>
    <mergeCell ref="A189:G189"/>
    <mergeCell ref="H189:J189"/>
    <mergeCell ref="I1:J1"/>
    <mergeCell ref="A133:G133"/>
    <mergeCell ref="A156:G156"/>
    <mergeCell ref="A184:G184"/>
    <mergeCell ref="A41:G41"/>
    <mergeCell ref="A16:G16"/>
    <mergeCell ref="A4:G4"/>
    <mergeCell ref="A174:G174"/>
    <mergeCell ref="A78:G78"/>
    <mergeCell ref="A107:G107"/>
    <mergeCell ref="A146:G146"/>
    <mergeCell ref="A178:G178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2024-03-06T10:52:57Z</dcterms:modified>
</cp:coreProperties>
</file>