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8" i="1" l="1"/>
  <c r="H86" i="1"/>
  <c r="F86" i="1"/>
  <c r="H100" i="1"/>
  <c r="F100" i="1"/>
  <c r="H160" i="1"/>
  <c r="F160" i="1"/>
  <c r="F159" i="1"/>
  <c r="H159" i="1" s="1"/>
  <c r="F31" i="1"/>
  <c r="H31" i="1" s="1"/>
  <c r="H88" i="1"/>
  <c r="F88" i="1"/>
  <c r="I88" i="1" s="1"/>
  <c r="H149" i="1"/>
  <c r="F149" i="1"/>
  <c r="H139" i="1"/>
  <c r="F139" i="1"/>
  <c r="H137" i="1"/>
  <c r="F137" i="1"/>
  <c r="H119" i="1"/>
  <c r="F119" i="1"/>
  <c r="H121" i="1"/>
  <c r="F121" i="1"/>
  <c r="H62" i="1"/>
  <c r="F62" i="1"/>
  <c r="H59" i="1"/>
  <c r="H33" i="1"/>
  <c r="F33" i="1"/>
  <c r="F142" i="1"/>
  <c r="H142" i="1" s="1"/>
  <c r="F58" i="1"/>
  <c r="H58" i="1" s="1"/>
  <c r="F157" i="1"/>
  <c r="I142" i="1" l="1"/>
  <c r="I100" i="1"/>
  <c r="I86" i="1"/>
  <c r="I62" i="1"/>
  <c r="H76" i="1"/>
  <c r="F76" i="1"/>
  <c r="I58" i="1"/>
  <c r="F133" i="1"/>
  <c r="H133" i="1" s="1"/>
  <c r="I133" i="1" l="1"/>
  <c r="H115" i="1"/>
  <c r="F115" i="1"/>
  <c r="I115" i="1" s="1"/>
  <c r="I117" i="1" s="1"/>
  <c r="H95" i="1"/>
  <c r="F95" i="1"/>
  <c r="I166" i="1" l="1"/>
  <c r="H166" i="1"/>
  <c r="F128" i="1"/>
  <c r="I165" i="1"/>
  <c r="H165" i="1"/>
  <c r="F164" i="1"/>
  <c r="I130" i="1"/>
  <c r="H138" i="1"/>
  <c r="F138" i="1"/>
  <c r="H136" i="1"/>
  <c r="F136" i="1"/>
  <c r="H164" i="1" l="1"/>
  <c r="I164" i="1" s="1"/>
  <c r="H128" i="1"/>
  <c r="I128" i="1" s="1"/>
  <c r="I95" i="1"/>
  <c r="I98" i="1" s="1"/>
  <c r="H162" i="1"/>
  <c r="H135" i="1"/>
  <c r="F135" i="1"/>
  <c r="H77" i="1"/>
  <c r="F77" i="1"/>
  <c r="I138" i="1"/>
  <c r="F67" i="1"/>
  <c r="H67" i="1" s="1"/>
  <c r="F61" i="1"/>
  <c r="H61" i="1" s="1"/>
  <c r="F60" i="1"/>
  <c r="H60" i="1" s="1"/>
  <c r="I33" i="1" l="1"/>
  <c r="I31" i="1"/>
  <c r="I40" i="1" s="1"/>
  <c r="H163" i="1"/>
  <c r="H132" i="1"/>
  <c r="F132" i="1"/>
  <c r="I136" i="1"/>
  <c r="I160" i="1"/>
  <c r="I135" i="1"/>
  <c r="F158" i="1"/>
  <c r="H158" i="1" s="1"/>
  <c r="I157" i="1"/>
  <c r="I55" i="1" l="1"/>
  <c r="I163" i="1"/>
  <c r="I162" i="1"/>
  <c r="I158" i="1"/>
  <c r="I77" i="1"/>
  <c r="I149" i="1"/>
  <c r="I119" i="1"/>
  <c r="I126" i="1" s="1"/>
  <c r="I153" i="1"/>
  <c r="I121" i="1"/>
  <c r="I132" i="1"/>
  <c r="I19" i="1" l="1"/>
  <c r="I76" i="1"/>
  <c r="I67" i="1"/>
  <c r="I139" i="1" l="1"/>
  <c r="I154" i="1"/>
  <c r="I155" i="1" s="1"/>
  <c r="I59" i="1" l="1"/>
  <c r="I61" i="1" l="1"/>
  <c r="I60" i="1"/>
  <c r="I84" i="1" s="1"/>
  <c r="I137" i="1"/>
  <c r="I140" i="1" s="1"/>
  <c r="I159" i="1" l="1"/>
  <c r="I146" i="1"/>
  <c r="I151" i="1" s="1"/>
  <c r="I143" i="1"/>
  <c r="I144" i="1" s="1"/>
  <c r="I169" i="1" l="1"/>
  <c r="I170" i="1" l="1"/>
</calcChain>
</file>

<file path=xl/sharedStrings.xml><?xml version="1.0" encoding="utf-8"?>
<sst xmlns="http://schemas.openxmlformats.org/spreadsheetml/2006/main" count="735" uniqueCount="236">
  <si>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</si>
  <si>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</si>
  <si>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</si>
  <si>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</si>
  <si>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</si>
  <si>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</si>
  <si>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</si>
  <si>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</si>
  <si>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</si>
  <si>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</si>
  <si>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</si>
  <si>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</si>
  <si>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</si>
  <si>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</si>
  <si>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</si>
  <si>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</si>
  <si>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</si>
  <si>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</si>
  <si>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</si>
  <si>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</si>
  <si>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</si>
  <si>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</si>
  <si>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</si>
  <si>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</si>
  <si>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</si>
  <si>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</si>
  <si>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</si>
  <si>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</si>
  <si>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</si>
  <si>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</si>
  <si>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</si>
  <si>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</si>
  <si>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</si>
  <si>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</si>
  <si>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</si>
  <si>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</si>
  <si>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</si>
  <si>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</si>
  <si>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</si>
  <si>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</si>
  <si>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</si>
  <si>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</si>
  <si>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</si>
  <si>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</si>
  <si>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</si>
  <si>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</si>
  <si>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</si>
  <si>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</si>
  <si>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</si>
  <si>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</si>
  <si>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</si>
  <si>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</si>
  <si>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</si>
  <si>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</si>
  <si>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</si>
  <si>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</si>
  <si>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</si>
  <si>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</si>
  <si>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</si>
  <si>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</si>
  <si>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</si>
  <si>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</si>
  <si>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</si>
  <si>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</si>
  <si>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</si>
  <si>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</si>
  <si>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</si>
  <si>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</si>
  <si>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</si>
  <si>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</si>
  <si>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</si>
  <si>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</si>
  <si>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</si>
  <si>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</si>
  <si>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</si>
  <si>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</si>
  <si>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</si>
  <si>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</si>
  <si>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</si>
  <si>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</si>
  <si>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</si>
  <si>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</si>
  <si>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</si>
  <si>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</si>
  <si>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</si>
  <si>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</si>
  <si>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</si>
  <si>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</si>
  <si>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</si>
  <si>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</si>
  <si>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</si>
  <si>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</si>
  <si>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</si>
  <si>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</si>
  <si>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</si>
  <si>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</si>
  <si>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</si>
  <si>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</si>
  <si>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</si>
  <si>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</si>
  <si>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</si>
  <si>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</si>
  <si>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</si>
  <si>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</si>
  <si>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</si>
  <si>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</si>
  <si>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</si>
  <si>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</si>
  <si>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</si>
  <si>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</si>
  <si>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</si>
  <si>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</si>
  <si>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</si>
  <si>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</si>
  <si>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</si>
  <si>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</si>
  <si>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</si>
  <si>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</si>
  <si>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</si>
  <si>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</si>
  <si>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</si>
  <si>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</si>
  <si>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</si>
  <si>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</si>
  <si>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</si>
  <si>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</si>
  <si>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</si>
  <si>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</si>
  <si>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</si>
  <si>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</si>
  <si>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</si>
  <si>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</si>
  <si>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</si>
  <si>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</si>
  <si>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</si>
  <si>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</si>
  <si>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</si>
  <si>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</si>
  <si>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</si>
  <si>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</si>
  <si>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</si>
  <si>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</si>
  <si>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</si>
  <si>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</si>
  <si>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</si>
  <si>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</si>
  <si>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демонтаж дверных коробок</t>
  </si>
  <si>
    <t>1 коробка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</si>
  <si>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</si>
  <si>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</si>
  <si>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</si>
  <si>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</si>
  <si>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</si>
  <si>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1,3,4квартал</t>
  </si>
  <si>
    <t>установка насосов</t>
  </si>
  <si>
    <t>1 врезка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</si>
  <si>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</si>
  <si>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</si>
  <si>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</si>
  <si>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</si>
  <si>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</si>
  <si>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</si>
  <si>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</si>
  <si>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</si>
  <si>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</si>
  <si>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</si>
  <si>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</si>
  <si>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</si>
  <si>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</si>
  <si>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</si>
  <si>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</si>
  <si>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</si>
  <si>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</si>
  <si>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</si>
  <si>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</si>
  <si>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</si>
  <si>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</si>
  <si>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</si>
  <si>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</si>
  <si>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</si>
  <si>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</si>
  <si>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</si>
  <si>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</si>
  <si>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</si>
  <si>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</si>
  <si>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</si>
  <si>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</si>
  <si>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</si>
  <si>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</si>
  <si>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</si>
  <si>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</si>
  <si>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 xml:space="preserve"> смена кранов на шаровые краны диам.15,20мм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</si>
  <si>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</si>
  <si>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</si>
  <si>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</si>
  <si>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</si>
  <si>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</si>
  <si>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</si>
  <si>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</si>
  <si>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</si>
  <si>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установка откидного пандуса для детских колясок</t>
  </si>
  <si>
    <t>ремонт мягкого покрытия кровли в 1 слой</t>
  </si>
  <si>
    <t>установка уголков ПВХ на клее</t>
  </si>
  <si>
    <t>огрунтовка ранее окрашенных фасадов под окраску</t>
  </si>
  <si>
    <t>шпатлевка ранее окрашенных фасадов под окраску</t>
  </si>
  <si>
    <t xml:space="preserve">окраска акриловыми красками по подготовленной поверхности фасадов простых за 2 раза </t>
  </si>
  <si>
    <t>смена клапана впускного</t>
  </si>
  <si>
    <t>регулировка смывного бачка</t>
  </si>
  <si>
    <t>обслуживание пожарной сигнализации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</si>
  <si>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</si>
  <si>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смена задвижек диам 50мм</t>
  </si>
  <si>
    <t>разборка деревянных элементов конструкций крыш обрешетки из брусков с прозорами</t>
  </si>
  <si>
    <t xml:space="preserve">монтаж кровельного покрытия из профилированного листа </t>
  </si>
  <si>
    <t>монтаж каркаса под навес</t>
  </si>
  <si>
    <t>устройство обрешетки :сплошной из досок</t>
  </si>
  <si>
    <t xml:space="preserve">ремонт/частичная замена поврежденных участков </t>
  </si>
  <si>
    <t>рытье ям</t>
  </si>
  <si>
    <t>окраска масляными составами ранее окрашенных металлических решеток и оград без рельефа за 1 раз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</si>
  <si>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</si>
  <si>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1 Советский переулок, дом 4б  на 2023 г.
</t>
  </si>
  <si>
    <t>механизированная уборка снега на придомовой территории (JSB )</t>
  </si>
  <si>
    <t>механизированная уборка снега на придомовой территории (МТЗ )</t>
  </si>
  <si>
    <t>ремонт групповых щитков на лестничной клетке без ремонта  автоматов</t>
  </si>
  <si>
    <t>1 квартал</t>
  </si>
  <si>
    <t>ремонт ступеней бетонных</t>
  </si>
  <si>
    <t>простая масляная  окраска ранее окрашенных фасадов без подготовки с расчисткой старой краски до 10% с земли и лесов (закрашивание надписей)</t>
  </si>
  <si>
    <t>смена выключателей</t>
  </si>
  <si>
    <t>ремонт металлических ограждений средний</t>
  </si>
  <si>
    <t>закрепление молниеотвода к стене</t>
  </si>
  <si>
    <t>установка столбиков</t>
  </si>
  <si>
    <t>окраска масляными составами столбиков</t>
  </si>
  <si>
    <t>справка о техническом состоянии здания</t>
  </si>
  <si>
    <t xml:space="preserve">смена водомера </t>
  </si>
  <si>
    <t>ремонт групповых щитков на лестничной клетке со сменой  автоматов</t>
  </si>
  <si>
    <t>проверка на прогрев отопительных приборов с регулировкой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</si>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</sst>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2" fontId="3" fillId="0" borderId="0" xfId="0" applyNumberFormat="1" applyFont="1"/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topLeftCell="D1" zoomScale="89" zoomScaleNormal="89" workbookViewId="0">
      <selection activeCell="F176" sqref="F176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9" t="s">
        <v>96</v>
      </c>
      <c r="J1" s="69"/>
    </row>
    <row r="2" spans="1:12" ht="70.5" customHeight="1" x14ac:dyDescent="0.25">
      <c r="A2" s="64" t="s">
        <v>219</v>
      </c>
      <c r="B2" s="65"/>
      <c r="C2" s="65"/>
      <c r="D2" s="65"/>
      <c r="E2" s="65"/>
      <c r="F2" s="65"/>
      <c r="G2" s="65"/>
      <c r="H2" s="65"/>
      <c r="I2" s="65"/>
      <c r="J2" s="65"/>
      <c r="K2" s="2"/>
      <c r="L2" s="2"/>
    </row>
    <row r="3" spans="1:12" ht="75" x14ac:dyDescent="0.25">
      <c r="A3" s="20" t="s">
        <v>81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80</v>
      </c>
      <c r="H3" s="21" t="s">
        <v>79</v>
      </c>
      <c r="I3" s="21" t="s">
        <v>101</v>
      </c>
      <c r="J3" s="21" t="s">
        <v>103</v>
      </c>
      <c r="K3" s="2"/>
      <c r="L3" s="2"/>
    </row>
    <row r="4" spans="1:12" ht="18.75" x14ac:dyDescent="0.3">
      <c r="A4" s="70" t="s">
        <v>87</v>
      </c>
      <c r="B4" s="71"/>
      <c r="C4" s="71"/>
      <c r="D4" s="71"/>
      <c r="E4" s="71"/>
      <c r="F4" s="71"/>
      <c r="G4" s="72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201</v>
      </c>
      <c r="E5" s="41" t="s">
        <v>141</v>
      </c>
      <c r="F5" s="41" t="s">
        <v>141</v>
      </c>
      <c r="G5" s="13" t="s">
        <v>113</v>
      </c>
      <c r="H5" s="41" t="s">
        <v>141</v>
      </c>
      <c r="I5" s="41" t="s">
        <v>141</v>
      </c>
      <c r="J5" s="13"/>
      <c r="K5" s="2"/>
      <c r="L5" s="2"/>
    </row>
    <row r="6" spans="1:12" ht="32.25" x14ac:dyDescent="0.3">
      <c r="A6" s="6"/>
      <c r="B6" s="5"/>
      <c r="C6" s="4"/>
      <c r="D6" s="15" t="s">
        <v>211</v>
      </c>
      <c r="E6" s="41"/>
      <c r="F6" s="41"/>
      <c r="G6" s="13" t="s">
        <v>113</v>
      </c>
      <c r="H6" s="41"/>
      <c r="I6" s="44"/>
      <c r="J6" s="13"/>
      <c r="K6" s="2"/>
      <c r="L6" s="2"/>
    </row>
    <row r="7" spans="1:12" ht="18.75" x14ac:dyDescent="0.3">
      <c r="A7" s="6"/>
      <c r="B7" s="5"/>
      <c r="C7" s="4"/>
      <c r="D7" s="15" t="s">
        <v>213</v>
      </c>
      <c r="E7" s="41"/>
      <c r="F7" s="41"/>
      <c r="G7" s="13" t="s">
        <v>150</v>
      </c>
      <c r="H7" s="41"/>
      <c r="I7" s="44"/>
      <c r="J7" s="13"/>
      <c r="K7" s="2"/>
      <c r="L7" s="2"/>
    </row>
    <row r="8" spans="1:12" ht="18.75" x14ac:dyDescent="0.3">
      <c r="A8" s="6"/>
      <c r="B8" s="5"/>
      <c r="C8" s="4"/>
      <c r="D8" s="15" t="s">
        <v>214</v>
      </c>
      <c r="E8" s="41"/>
      <c r="F8" s="41"/>
      <c r="G8" s="13" t="s">
        <v>113</v>
      </c>
      <c r="H8" s="41"/>
      <c r="I8" s="44"/>
      <c r="J8" s="13"/>
      <c r="K8" s="2"/>
      <c r="L8" s="2"/>
    </row>
    <row r="9" spans="1:12" ht="32.25" x14ac:dyDescent="0.3">
      <c r="A9" s="6"/>
      <c r="B9" s="5"/>
      <c r="C9" s="4"/>
      <c r="D9" s="15" t="s">
        <v>212</v>
      </c>
      <c r="E9" s="41"/>
      <c r="F9" s="41"/>
      <c r="G9" s="13" t="s">
        <v>113</v>
      </c>
      <c r="H9" s="41"/>
      <c r="I9" s="44"/>
      <c r="J9" s="13"/>
      <c r="K9" s="2"/>
      <c r="L9" s="2"/>
    </row>
    <row r="10" spans="1:12" ht="18.75" x14ac:dyDescent="0.3">
      <c r="A10" s="6"/>
      <c r="B10" s="5"/>
      <c r="C10" s="4"/>
      <c r="D10" s="15" t="s">
        <v>120</v>
      </c>
      <c r="E10" s="41"/>
      <c r="F10" s="41"/>
      <c r="G10" s="13" t="s">
        <v>113</v>
      </c>
      <c r="H10" s="41" t="s">
        <v>141</v>
      </c>
      <c r="I10" s="41" t="s">
        <v>141</v>
      </c>
      <c r="J10" s="13"/>
      <c r="K10" s="2"/>
      <c r="L10" s="2"/>
    </row>
    <row r="11" spans="1:12" ht="35.25" customHeight="1" x14ac:dyDescent="0.3">
      <c r="A11" s="6" t="s">
        <v>1</v>
      </c>
      <c r="B11" s="5"/>
      <c r="C11" s="4"/>
      <c r="D11" s="15" t="s">
        <v>215</v>
      </c>
      <c r="E11" s="41"/>
      <c r="F11" s="41"/>
      <c r="G11" s="13" t="s">
        <v>30</v>
      </c>
      <c r="H11" s="41"/>
      <c r="I11" s="41"/>
      <c r="J11" s="13"/>
      <c r="K11" s="2"/>
      <c r="L11" s="2"/>
    </row>
    <row r="12" spans="1:12" ht="28.5" customHeight="1" x14ac:dyDescent="0.3">
      <c r="A12" s="6" t="s">
        <v>2</v>
      </c>
      <c r="B12" s="5"/>
      <c r="C12" s="4"/>
      <c r="D12" s="15" t="s">
        <v>38</v>
      </c>
      <c r="E12" s="41" t="s">
        <v>141</v>
      </c>
      <c r="F12" s="41" t="s">
        <v>141</v>
      </c>
      <c r="G12" s="13" t="s">
        <v>30</v>
      </c>
      <c r="H12" s="41" t="s">
        <v>141</v>
      </c>
      <c r="I12" s="41" t="s">
        <v>141</v>
      </c>
      <c r="J12" s="13"/>
      <c r="K12" s="2"/>
      <c r="L12" s="2"/>
    </row>
    <row r="13" spans="1:12" ht="18.75" x14ac:dyDescent="0.3">
      <c r="A13" s="7" t="s">
        <v>3</v>
      </c>
      <c r="B13" s="5"/>
      <c r="C13" s="4"/>
      <c r="D13" s="15" t="s">
        <v>37</v>
      </c>
      <c r="E13" s="41" t="s">
        <v>141</v>
      </c>
      <c r="F13" s="41" t="s">
        <v>141</v>
      </c>
      <c r="G13" s="13" t="s">
        <v>30</v>
      </c>
      <c r="H13" s="41" t="s">
        <v>141</v>
      </c>
      <c r="I13" s="41" t="s">
        <v>141</v>
      </c>
      <c r="J13" s="13"/>
      <c r="K13" s="2"/>
      <c r="L13" s="2"/>
    </row>
    <row r="14" spans="1:12" ht="32.25" x14ac:dyDescent="0.3">
      <c r="A14" s="6" t="s">
        <v>4</v>
      </c>
      <c r="B14" s="5"/>
      <c r="C14" s="4"/>
      <c r="D14" s="15" t="s">
        <v>36</v>
      </c>
      <c r="E14" s="41" t="s">
        <v>141</v>
      </c>
      <c r="F14" s="41" t="s">
        <v>141</v>
      </c>
      <c r="G14" s="13" t="s">
        <v>30</v>
      </c>
      <c r="H14" s="41" t="s">
        <v>141</v>
      </c>
      <c r="I14" s="41" t="s">
        <v>141</v>
      </c>
      <c r="J14" s="13"/>
      <c r="K14" s="2"/>
      <c r="L14" s="2"/>
    </row>
    <row r="15" spans="1:12" ht="18.75" x14ac:dyDescent="0.3">
      <c r="A15" s="6" t="s">
        <v>5</v>
      </c>
      <c r="B15" s="5"/>
      <c r="C15" s="4"/>
      <c r="D15" s="4" t="s">
        <v>86</v>
      </c>
      <c r="E15" s="41" t="s">
        <v>141</v>
      </c>
      <c r="F15" s="41" t="s">
        <v>141</v>
      </c>
      <c r="G15" s="13" t="s">
        <v>31</v>
      </c>
      <c r="H15" s="41" t="s">
        <v>141</v>
      </c>
      <c r="I15" s="41" t="s">
        <v>141</v>
      </c>
      <c r="J15" s="13"/>
      <c r="K15" s="2"/>
      <c r="L15" s="2"/>
    </row>
    <row r="16" spans="1:12" ht="37.5" x14ac:dyDescent="0.3">
      <c r="A16" s="6" t="s">
        <v>6</v>
      </c>
      <c r="B16" s="5"/>
      <c r="C16" s="4"/>
      <c r="D16" s="4" t="s">
        <v>35</v>
      </c>
      <c r="E16" s="41" t="s">
        <v>141</v>
      </c>
      <c r="F16" s="41" t="s">
        <v>141</v>
      </c>
      <c r="G16" s="14" t="s">
        <v>31</v>
      </c>
      <c r="H16" s="41" t="s">
        <v>141</v>
      </c>
      <c r="I16" s="41" t="s">
        <v>141</v>
      </c>
      <c r="J16" s="13"/>
      <c r="K16" s="2"/>
      <c r="L16" s="2"/>
    </row>
    <row r="17" spans="1:12" ht="32.25" x14ac:dyDescent="0.3">
      <c r="A17" s="6" t="s">
        <v>62</v>
      </c>
      <c r="B17" s="5"/>
      <c r="C17" s="4"/>
      <c r="D17" s="15" t="s">
        <v>51</v>
      </c>
      <c r="E17" s="41" t="s">
        <v>141</v>
      </c>
      <c r="F17" s="41" t="s">
        <v>141</v>
      </c>
      <c r="G17" s="13" t="s">
        <v>30</v>
      </c>
      <c r="H17" s="41" t="s">
        <v>141</v>
      </c>
      <c r="I17" s="41" t="s">
        <v>141</v>
      </c>
      <c r="J17" s="13"/>
      <c r="L17" s="2"/>
    </row>
    <row r="18" spans="1:12" ht="27" customHeight="1" x14ac:dyDescent="0.3">
      <c r="A18" s="6" t="s">
        <v>7</v>
      </c>
      <c r="B18" s="5"/>
      <c r="C18" s="4"/>
      <c r="D18" s="15" t="s">
        <v>34</v>
      </c>
      <c r="E18" s="41" t="s">
        <v>141</v>
      </c>
      <c r="F18" s="41" t="s">
        <v>141</v>
      </c>
      <c r="G18" s="13" t="s">
        <v>30</v>
      </c>
      <c r="H18" s="41" t="s">
        <v>141</v>
      </c>
      <c r="I18" s="41" t="s">
        <v>141</v>
      </c>
      <c r="J18" s="13"/>
      <c r="K18" s="2"/>
      <c r="L18" s="2"/>
    </row>
    <row r="19" spans="1:12" ht="27" customHeight="1" x14ac:dyDescent="0.3">
      <c r="A19" s="28"/>
      <c r="B19" s="22"/>
      <c r="C19" s="22"/>
      <c r="D19" s="30"/>
      <c r="E19" s="46"/>
      <c r="F19" s="46"/>
      <c r="G19" s="31"/>
      <c r="H19" s="41"/>
      <c r="I19" s="44">
        <f>SUM(I6:I18)</f>
        <v>0</v>
      </c>
      <c r="J19" s="13"/>
      <c r="K19" s="2"/>
      <c r="L19" s="2"/>
    </row>
    <row r="20" spans="1:12" ht="18.75" x14ac:dyDescent="0.3">
      <c r="A20" s="70" t="s">
        <v>55</v>
      </c>
      <c r="B20" s="71"/>
      <c r="C20" s="71"/>
      <c r="D20" s="71"/>
      <c r="E20" s="71"/>
      <c r="F20" s="71"/>
      <c r="G20" s="72"/>
      <c r="H20" s="14"/>
      <c r="I20" s="5"/>
      <c r="J20" s="13"/>
      <c r="L20" s="2"/>
    </row>
    <row r="21" spans="1:12" ht="18.75" x14ac:dyDescent="0.3">
      <c r="A21" s="6" t="s">
        <v>19</v>
      </c>
      <c r="B21" s="5"/>
      <c r="C21" s="4"/>
      <c r="D21" s="4" t="s">
        <v>95</v>
      </c>
      <c r="E21" s="41" t="s">
        <v>141</v>
      </c>
      <c r="F21" s="41" t="s">
        <v>141</v>
      </c>
      <c r="G21" s="14" t="s">
        <v>53</v>
      </c>
      <c r="H21" s="41" t="s">
        <v>141</v>
      </c>
      <c r="I21" s="41" t="s">
        <v>141</v>
      </c>
      <c r="J21" s="13"/>
      <c r="L21" s="2"/>
    </row>
    <row r="22" spans="1:12" ht="18.75" x14ac:dyDescent="0.3">
      <c r="A22" s="6" t="s">
        <v>13</v>
      </c>
      <c r="B22" s="5"/>
      <c r="C22" s="4"/>
      <c r="D22" s="4" t="s">
        <v>40</v>
      </c>
      <c r="E22" s="41" t="s">
        <v>141</v>
      </c>
      <c r="F22" s="41" t="s">
        <v>141</v>
      </c>
      <c r="G22" s="14" t="s">
        <v>52</v>
      </c>
      <c r="H22" s="41" t="s">
        <v>141</v>
      </c>
      <c r="I22" s="41" t="s">
        <v>141</v>
      </c>
      <c r="J22" s="13"/>
      <c r="L22" s="2"/>
    </row>
    <row r="23" spans="1:12" ht="32.25" x14ac:dyDescent="0.3">
      <c r="A23" s="6" t="s">
        <v>9</v>
      </c>
      <c r="B23" s="5"/>
      <c r="C23" s="4"/>
      <c r="D23" s="15" t="s">
        <v>203</v>
      </c>
      <c r="E23" s="41"/>
      <c r="F23" s="41"/>
      <c r="G23" s="13" t="s">
        <v>52</v>
      </c>
      <c r="H23" s="41"/>
      <c r="I23" s="41"/>
      <c r="J23" s="13"/>
      <c r="K23" s="2"/>
      <c r="L23" s="2"/>
    </row>
    <row r="24" spans="1:12" ht="32.25" x14ac:dyDescent="0.3">
      <c r="A24" s="6"/>
      <c r="B24" s="5"/>
      <c r="C24" s="4"/>
      <c r="D24" s="15" t="s">
        <v>204</v>
      </c>
      <c r="E24" s="41"/>
      <c r="F24" s="41"/>
      <c r="G24" s="13" t="s">
        <v>113</v>
      </c>
      <c r="H24" s="41"/>
      <c r="I24" s="41"/>
      <c r="J24" s="13"/>
      <c r="K24" s="2"/>
      <c r="L24" s="2"/>
    </row>
    <row r="25" spans="1:12" ht="48" x14ac:dyDescent="0.3">
      <c r="A25" s="6"/>
      <c r="B25" s="5"/>
      <c r="C25" s="4"/>
      <c r="D25" s="15" t="s">
        <v>205</v>
      </c>
      <c r="E25" s="41"/>
      <c r="F25" s="41"/>
      <c r="G25" s="13" t="s">
        <v>113</v>
      </c>
      <c r="H25" s="41"/>
      <c r="I25" s="41"/>
      <c r="J25" s="13"/>
      <c r="K25" s="2"/>
      <c r="L25" s="2"/>
    </row>
    <row r="26" spans="1:12" ht="32.25" x14ac:dyDescent="0.3">
      <c r="A26" s="6"/>
      <c r="B26" s="5"/>
      <c r="C26" s="4"/>
      <c r="D26" s="15" t="s">
        <v>169</v>
      </c>
      <c r="E26" s="41"/>
      <c r="F26" s="41"/>
      <c r="G26" s="13" t="s">
        <v>89</v>
      </c>
      <c r="H26" s="41"/>
      <c r="I26" s="44"/>
      <c r="J26" s="13"/>
      <c r="K26" s="2"/>
      <c r="L26" s="2"/>
    </row>
    <row r="27" spans="1:12" ht="18.75" x14ac:dyDescent="0.3">
      <c r="A27" s="6" t="s">
        <v>10</v>
      </c>
      <c r="B27" s="5"/>
      <c r="C27" s="4"/>
      <c r="D27" s="4" t="s">
        <v>33</v>
      </c>
      <c r="E27" s="41" t="s">
        <v>141</v>
      </c>
      <c r="F27" s="41" t="s">
        <v>141</v>
      </c>
      <c r="G27" s="14" t="s">
        <v>52</v>
      </c>
      <c r="H27" s="41" t="s">
        <v>141</v>
      </c>
      <c r="I27" s="41" t="s">
        <v>141</v>
      </c>
      <c r="J27" s="13"/>
      <c r="K27" s="2"/>
      <c r="L27" s="2"/>
    </row>
    <row r="28" spans="1:12" ht="18.75" x14ac:dyDescent="0.3">
      <c r="A28" s="6" t="s">
        <v>11</v>
      </c>
      <c r="B28" s="5"/>
      <c r="C28" s="4"/>
      <c r="D28" s="4" t="s">
        <v>39</v>
      </c>
      <c r="E28" s="41" t="s">
        <v>141</v>
      </c>
      <c r="F28" s="41" t="s">
        <v>141</v>
      </c>
      <c r="G28" s="14" t="s">
        <v>52</v>
      </c>
      <c r="H28" s="41" t="s">
        <v>141</v>
      </c>
      <c r="I28" s="41" t="s">
        <v>141</v>
      </c>
      <c r="J28" s="13"/>
      <c r="K28" s="2"/>
      <c r="L28" s="2"/>
    </row>
    <row r="29" spans="1:12" ht="18.75" x14ac:dyDescent="0.3">
      <c r="A29" s="6"/>
      <c r="B29" s="5"/>
      <c r="C29" s="4"/>
      <c r="D29" s="4" t="s">
        <v>149</v>
      </c>
      <c r="E29" s="41" t="s">
        <v>141</v>
      </c>
      <c r="F29" s="41" t="s">
        <v>141</v>
      </c>
      <c r="G29" s="14" t="s">
        <v>150</v>
      </c>
      <c r="H29" s="41" t="s">
        <v>141</v>
      </c>
      <c r="I29" s="41" t="s">
        <v>141</v>
      </c>
      <c r="J29" s="13"/>
      <c r="K29" s="2"/>
      <c r="L29" s="2"/>
    </row>
    <row r="30" spans="1:12" ht="18.75" x14ac:dyDescent="0.3">
      <c r="A30" s="6" t="s">
        <v>8</v>
      </c>
      <c r="B30" s="5"/>
      <c r="C30" s="4"/>
      <c r="D30" s="4" t="s">
        <v>32</v>
      </c>
      <c r="E30" s="41" t="s">
        <v>141</v>
      </c>
      <c r="F30" s="41" t="s">
        <v>141</v>
      </c>
      <c r="G30" s="13" t="s">
        <v>30</v>
      </c>
      <c r="H30" s="41" t="s">
        <v>141</v>
      </c>
      <c r="I30" s="41" t="s">
        <v>141</v>
      </c>
      <c r="J30" s="13"/>
      <c r="K30" s="2"/>
      <c r="L30" s="2"/>
    </row>
    <row r="31" spans="1:12" ht="24.75" customHeight="1" x14ac:dyDescent="0.3">
      <c r="A31" s="6" t="s">
        <v>12</v>
      </c>
      <c r="B31" s="5"/>
      <c r="C31" s="4"/>
      <c r="D31" s="15" t="s">
        <v>224</v>
      </c>
      <c r="E31" s="41" t="s">
        <v>141</v>
      </c>
      <c r="F31" s="41">
        <f>7+1</f>
        <v>8</v>
      </c>
      <c r="G31" s="14" t="s">
        <v>31</v>
      </c>
      <c r="H31" s="44">
        <f>(8018.8+2824.6)/F31</f>
        <v>1355.425</v>
      </c>
      <c r="I31" s="76">
        <f>F31*H31</f>
        <v>10843.4</v>
      </c>
      <c r="J31" s="13" t="s">
        <v>118</v>
      </c>
      <c r="K31" s="2"/>
      <c r="L31" s="2"/>
    </row>
    <row r="32" spans="1:12" ht="18.75" x14ac:dyDescent="0.3">
      <c r="A32" s="6" t="s">
        <v>54</v>
      </c>
      <c r="B32" s="5"/>
      <c r="C32" s="4"/>
      <c r="D32" s="15" t="s">
        <v>199</v>
      </c>
      <c r="E32" s="41" t="s">
        <v>141</v>
      </c>
      <c r="F32" s="41" t="s">
        <v>141</v>
      </c>
      <c r="G32" s="14" t="s">
        <v>30</v>
      </c>
      <c r="H32" s="41" t="s">
        <v>141</v>
      </c>
      <c r="I32" s="41" t="s">
        <v>141</v>
      </c>
      <c r="J32" s="13"/>
      <c r="L32" s="2"/>
    </row>
    <row r="33" spans="1:12" ht="63.75" x14ac:dyDescent="0.3">
      <c r="A33" s="6"/>
      <c r="B33" s="5"/>
      <c r="C33" s="4"/>
      <c r="D33" s="15" t="s">
        <v>225</v>
      </c>
      <c r="E33" s="41" t="s">
        <v>141</v>
      </c>
      <c r="F33" s="41">
        <f>1.5+3+2</f>
        <v>6.5</v>
      </c>
      <c r="G33" s="13" t="s">
        <v>113</v>
      </c>
      <c r="H33" s="44">
        <f>(227.8+457.6+323.2)/F33</f>
        <v>155.16923076923078</v>
      </c>
      <c r="I33" s="76">
        <f>F33*H33</f>
        <v>1008.6</v>
      </c>
      <c r="J33" s="13" t="s">
        <v>118</v>
      </c>
      <c r="L33" s="2"/>
    </row>
    <row r="34" spans="1:12" ht="32.25" x14ac:dyDescent="0.3">
      <c r="A34" s="6" t="s">
        <v>56</v>
      </c>
      <c r="B34" s="5"/>
      <c r="C34" s="4"/>
      <c r="D34" s="15" t="s">
        <v>94</v>
      </c>
      <c r="E34" s="41" t="s">
        <v>141</v>
      </c>
      <c r="F34" s="41" t="s">
        <v>141</v>
      </c>
      <c r="G34" s="14" t="s">
        <v>52</v>
      </c>
      <c r="H34" s="41" t="s">
        <v>141</v>
      </c>
      <c r="I34" s="41" t="s">
        <v>141</v>
      </c>
      <c r="J34" s="13"/>
      <c r="L34" s="2"/>
    </row>
    <row r="35" spans="1:12" ht="32.25" x14ac:dyDescent="0.3">
      <c r="A35" s="6" t="s">
        <v>14</v>
      </c>
      <c r="B35" s="5"/>
      <c r="C35" s="4"/>
      <c r="D35" s="15" t="s">
        <v>93</v>
      </c>
      <c r="E35" s="41" t="s">
        <v>141</v>
      </c>
      <c r="F35" s="41" t="s">
        <v>141</v>
      </c>
      <c r="G35" s="14" t="s">
        <v>53</v>
      </c>
      <c r="H35" s="41" t="s">
        <v>141</v>
      </c>
      <c r="I35" s="41" t="s">
        <v>141</v>
      </c>
      <c r="J35" s="13"/>
      <c r="L35" s="2"/>
    </row>
    <row r="36" spans="1:12" ht="18.75" x14ac:dyDescent="0.3">
      <c r="A36" s="6" t="s">
        <v>15</v>
      </c>
      <c r="B36" s="5"/>
      <c r="C36" s="4"/>
      <c r="D36" s="4" t="s">
        <v>41</v>
      </c>
      <c r="E36" s="41" t="s">
        <v>141</v>
      </c>
      <c r="F36" s="41" t="s">
        <v>141</v>
      </c>
      <c r="G36" s="14" t="s">
        <v>53</v>
      </c>
      <c r="H36" s="41" t="s">
        <v>141</v>
      </c>
      <c r="I36" s="41" t="s">
        <v>141</v>
      </c>
      <c r="J36" s="13"/>
      <c r="L36" s="2"/>
    </row>
    <row r="37" spans="1:12" ht="18.75" x14ac:dyDescent="0.3">
      <c r="A37" s="6" t="s">
        <v>16</v>
      </c>
      <c r="B37" s="5"/>
      <c r="C37" s="4"/>
      <c r="D37" s="4" t="s">
        <v>42</v>
      </c>
      <c r="E37" s="41" t="s">
        <v>141</v>
      </c>
      <c r="F37" s="41" t="s">
        <v>141</v>
      </c>
      <c r="G37" s="14" t="s">
        <v>52</v>
      </c>
      <c r="H37" s="41" t="s">
        <v>141</v>
      </c>
      <c r="I37" s="41" t="s">
        <v>141</v>
      </c>
      <c r="J37" s="13"/>
      <c r="L37" s="2"/>
    </row>
    <row r="38" spans="1:12" ht="18.75" x14ac:dyDescent="0.3">
      <c r="A38" s="6" t="s">
        <v>17</v>
      </c>
      <c r="B38" s="5"/>
      <c r="C38" s="4"/>
      <c r="D38" s="4" t="s">
        <v>43</v>
      </c>
      <c r="E38" s="41" t="s">
        <v>141</v>
      </c>
      <c r="F38" s="41" t="s">
        <v>141</v>
      </c>
      <c r="G38" s="13" t="s">
        <v>30</v>
      </c>
      <c r="H38" s="41" t="s">
        <v>141</v>
      </c>
      <c r="I38" s="41" t="s">
        <v>141</v>
      </c>
      <c r="J38" s="13"/>
      <c r="L38" s="2"/>
    </row>
    <row r="39" spans="1:12" ht="18.75" x14ac:dyDescent="0.3">
      <c r="A39" s="6" t="s">
        <v>18</v>
      </c>
      <c r="B39" s="5"/>
      <c r="C39" s="4"/>
      <c r="D39" s="4" t="s">
        <v>44</v>
      </c>
      <c r="E39" s="41" t="s">
        <v>141</v>
      </c>
      <c r="F39" s="41" t="s">
        <v>141</v>
      </c>
      <c r="G39" s="14" t="s">
        <v>53</v>
      </c>
      <c r="H39" s="41" t="s">
        <v>141</v>
      </c>
      <c r="I39" s="41" t="s">
        <v>141</v>
      </c>
      <c r="J39" s="13"/>
      <c r="L39" s="2"/>
    </row>
    <row r="40" spans="1:12" ht="18.75" x14ac:dyDescent="0.3">
      <c r="A40" s="28"/>
      <c r="B40" s="22"/>
      <c r="C40" s="22"/>
      <c r="D40" s="22"/>
      <c r="E40" s="46"/>
      <c r="F40" s="46"/>
      <c r="G40" s="12"/>
      <c r="H40" s="41"/>
      <c r="I40" s="44">
        <f>SUM(I31:I39)</f>
        <v>11852</v>
      </c>
      <c r="J40" s="13"/>
      <c r="L40" s="2"/>
    </row>
    <row r="41" spans="1:12" ht="24" customHeight="1" x14ac:dyDescent="0.3">
      <c r="A41" s="70" t="s">
        <v>85</v>
      </c>
      <c r="B41" s="71"/>
      <c r="C41" s="71"/>
      <c r="D41" s="71"/>
      <c r="E41" s="71"/>
      <c r="F41" s="71"/>
      <c r="G41" s="72"/>
      <c r="H41" s="14"/>
      <c r="I41" s="5"/>
      <c r="J41" s="13"/>
      <c r="L41" s="2"/>
    </row>
    <row r="42" spans="1:12" ht="32.25" customHeight="1" x14ac:dyDescent="0.3">
      <c r="A42" s="6" t="s">
        <v>48</v>
      </c>
      <c r="B42" s="5"/>
      <c r="C42" s="4"/>
      <c r="D42" s="15" t="s">
        <v>190</v>
      </c>
      <c r="E42" s="41" t="s">
        <v>141</v>
      </c>
      <c r="F42" s="41" t="s">
        <v>141</v>
      </c>
      <c r="G42" s="38" t="s">
        <v>31</v>
      </c>
      <c r="H42" s="41"/>
      <c r="I42" s="41" t="s">
        <v>141</v>
      </c>
      <c r="J42" s="13"/>
      <c r="L42" s="2"/>
    </row>
    <row r="43" spans="1:12" ht="32.25" customHeight="1" x14ac:dyDescent="0.3">
      <c r="A43" s="6"/>
      <c r="B43" s="5"/>
      <c r="C43" s="4"/>
      <c r="D43" s="15" t="s">
        <v>146</v>
      </c>
      <c r="E43" s="41" t="s">
        <v>141</v>
      </c>
      <c r="F43" s="41" t="s">
        <v>141</v>
      </c>
      <c r="G43" s="13" t="s">
        <v>147</v>
      </c>
      <c r="H43" s="41" t="s">
        <v>141</v>
      </c>
      <c r="I43" s="41" t="s">
        <v>141</v>
      </c>
      <c r="J43" s="13"/>
      <c r="L43" s="2"/>
    </row>
    <row r="44" spans="1:12" ht="32.25" customHeight="1" x14ac:dyDescent="0.3">
      <c r="A44" s="6"/>
      <c r="B44" s="5"/>
      <c r="C44" s="4"/>
      <c r="D44" s="15" t="s">
        <v>148</v>
      </c>
      <c r="E44" s="41" t="s">
        <v>141</v>
      </c>
      <c r="F44" s="41" t="s">
        <v>141</v>
      </c>
      <c r="G44" s="13" t="s">
        <v>31</v>
      </c>
      <c r="H44" s="41" t="s">
        <v>141</v>
      </c>
      <c r="I44" s="41" t="s">
        <v>141</v>
      </c>
      <c r="J44" s="13"/>
      <c r="L44" s="2"/>
    </row>
    <row r="45" spans="1:12" ht="32.25" customHeight="1" x14ac:dyDescent="0.3">
      <c r="A45" s="6"/>
      <c r="B45" s="5"/>
      <c r="C45" s="4"/>
      <c r="D45" s="15" t="s">
        <v>160</v>
      </c>
      <c r="E45" s="41"/>
      <c r="F45" s="41"/>
      <c r="G45" s="13" t="s">
        <v>31</v>
      </c>
      <c r="H45" s="41"/>
      <c r="I45" s="41"/>
      <c r="J45" s="13"/>
      <c r="L45" s="2"/>
    </row>
    <row r="46" spans="1:12" ht="32.25" x14ac:dyDescent="0.3">
      <c r="A46" s="6" t="s">
        <v>49</v>
      </c>
      <c r="B46" s="5"/>
      <c r="C46" s="4"/>
      <c r="D46" s="15" t="s">
        <v>99</v>
      </c>
      <c r="E46" s="41" t="s">
        <v>141</v>
      </c>
      <c r="F46" s="41" t="s">
        <v>141</v>
      </c>
      <c r="G46" s="13" t="s">
        <v>53</v>
      </c>
      <c r="H46" s="41" t="s">
        <v>141</v>
      </c>
      <c r="I46" s="41" t="s">
        <v>141</v>
      </c>
      <c r="J46" s="13"/>
      <c r="L46" s="2"/>
    </row>
    <row r="47" spans="1:12" ht="32.25" x14ac:dyDescent="0.3">
      <c r="A47" s="6" t="s">
        <v>58</v>
      </c>
      <c r="B47" s="8"/>
      <c r="C47" s="4"/>
      <c r="D47" s="15" t="s">
        <v>45</v>
      </c>
      <c r="E47" s="41" t="s">
        <v>141</v>
      </c>
      <c r="F47" s="41" t="s">
        <v>141</v>
      </c>
      <c r="G47" s="14" t="s">
        <v>52</v>
      </c>
      <c r="H47" s="41" t="s">
        <v>141</v>
      </c>
      <c r="I47" s="41" t="s">
        <v>141</v>
      </c>
      <c r="J47" s="13"/>
      <c r="L47" s="2"/>
    </row>
    <row r="48" spans="1:12" ht="18.75" x14ac:dyDescent="0.3">
      <c r="A48" s="6"/>
      <c r="B48" s="8"/>
      <c r="C48" s="4"/>
      <c r="D48" s="15" t="s">
        <v>202</v>
      </c>
      <c r="E48" s="41" t="s">
        <v>141</v>
      </c>
      <c r="F48" s="41" t="s">
        <v>141</v>
      </c>
      <c r="G48" s="41" t="s">
        <v>30</v>
      </c>
      <c r="H48" s="41"/>
      <c r="I48" s="41"/>
      <c r="J48" s="13"/>
      <c r="L48" s="2"/>
    </row>
    <row r="49" spans="1:12" ht="18.75" x14ac:dyDescent="0.3">
      <c r="A49" s="6" t="s">
        <v>60</v>
      </c>
      <c r="B49" s="5"/>
      <c r="C49" s="4"/>
      <c r="D49" s="15" t="s">
        <v>50</v>
      </c>
      <c r="E49" s="41" t="s">
        <v>141</v>
      </c>
      <c r="F49" s="41" t="s">
        <v>141</v>
      </c>
      <c r="G49" s="14" t="s">
        <v>52</v>
      </c>
      <c r="H49" s="41" t="s">
        <v>141</v>
      </c>
      <c r="I49" s="41" t="s">
        <v>141</v>
      </c>
      <c r="J49" s="13"/>
      <c r="L49" s="2"/>
    </row>
    <row r="50" spans="1:12" ht="32.25" x14ac:dyDescent="0.3">
      <c r="A50" s="6" t="s">
        <v>61</v>
      </c>
      <c r="B50" s="5"/>
      <c r="C50" s="4"/>
      <c r="D50" s="15" t="s">
        <v>63</v>
      </c>
      <c r="E50" s="41" t="s">
        <v>141</v>
      </c>
      <c r="F50" s="41" t="s">
        <v>141</v>
      </c>
      <c r="G50" s="13" t="s">
        <v>30</v>
      </c>
      <c r="H50" s="41" t="s">
        <v>141</v>
      </c>
      <c r="I50" s="41" t="s">
        <v>141</v>
      </c>
      <c r="J50" s="13"/>
      <c r="L50" s="2"/>
    </row>
    <row r="51" spans="1:12" ht="18.75" x14ac:dyDescent="0.3">
      <c r="A51" s="6"/>
      <c r="B51" s="5"/>
      <c r="C51" s="4"/>
      <c r="D51" s="15" t="s">
        <v>161</v>
      </c>
      <c r="E51" s="41" t="s">
        <v>141</v>
      </c>
      <c r="F51" s="41" t="s">
        <v>141</v>
      </c>
      <c r="G51" s="13" t="s">
        <v>31</v>
      </c>
      <c r="H51" s="41" t="s">
        <v>141</v>
      </c>
      <c r="I51" s="41" t="s">
        <v>141</v>
      </c>
      <c r="J51" s="13"/>
      <c r="L51" s="2"/>
    </row>
    <row r="52" spans="1:12" ht="18.75" x14ac:dyDescent="0.3">
      <c r="A52" s="6" t="s">
        <v>57</v>
      </c>
      <c r="B52" s="8"/>
      <c r="C52" s="4"/>
      <c r="D52" s="4" t="s">
        <v>46</v>
      </c>
      <c r="E52" s="41" t="s">
        <v>141</v>
      </c>
      <c r="F52" s="41" t="s">
        <v>141</v>
      </c>
      <c r="G52" s="14" t="s">
        <v>52</v>
      </c>
      <c r="H52" s="41" t="s">
        <v>141</v>
      </c>
      <c r="I52" s="41" t="s">
        <v>141</v>
      </c>
      <c r="J52" s="13"/>
      <c r="L52" s="2"/>
    </row>
    <row r="53" spans="1:12" ht="24" customHeight="1" x14ac:dyDescent="0.3">
      <c r="A53" s="6" t="s">
        <v>59</v>
      </c>
      <c r="B53" s="8"/>
      <c r="C53" s="4"/>
      <c r="D53" s="4" t="s">
        <v>47</v>
      </c>
      <c r="E53" s="41" t="s">
        <v>141</v>
      </c>
      <c r="F53" s="41" t="s">
        <v>141</v>
      </c>
      <c r="G53" s="14" t="s">
        <v>52</v>
      </c>
      <c r="H53" s="41" t="s">
        <v>141</v>
      </c>
      <c r="I53" s="41" t="s">
        <v>141</v>
      </c>
      <c r="J53" s="13"/>
      <c r="L53" s="2"/>
    </row>
    <row r="54" spans="1:12" ht="18.75" x14ac:dyDescent="0.3">
      <c r="A54" s="6" t="s">
        <v>64</v>
      </c>
      <c r="B54" s="5"/>
      <c r="C54" s="4"/>
      <c r="D54" s="4" t="s">
        <v>92</v>
      </c>
      <c r="E54" s="41" t="s">
        <v>141</v>
      </c>
      <c r="F54" s="41" t="s">
        <v>141</v>
      </c>
      <c r="G54" s="14" t="s">
        <v>53</v>
      </c>
      <c r="H54" s="41" t="s">
        <v>141</v>
      </c>
      <c r="I54" s="41" t="s">
        <v>141</v>
      </c>
      <c r="J54" s="13"/>
      <c r="L54" s="2"/>
    </row>
    <row r="55" spans="1:12" ht="18.75" x14ac:dyDescent="0.3">
      <c r="A55" s="28"/>
      <c r="B55" s="22"/>
      <c r="C55" s="22"/>
      <c r="D55" s="22"/>
      <c r="E55" s="46"/>
      <c r="F55" s="46"/>
      <c r="G55" s="12"/>
      <c r="H55" s="41"/>
      <c r="I55" s="44">
        <f>SUM(I45:I54)</f>
        <v>0</v>
      </c>
      <c r="J55" s="13"/>
      <c r="L55" s="2"/>
    </row>
    <row r="56" spans="1:12" ht="18.75" x14ac:dyDescent="0.3">
      <c r="A56" s="70" t="s">
        <v>66</v>
      </c>
      <c r="B56" s="71"/>
      <c r="C56" s="71"/>
      <c r="D56" s="71"/>
      <c r="E56" s="71"/>
      <c r="F56" s="71"/>
      <c r="G56" s="72"/>
      <c r="H56" s="18"/>
      <c r="I56" s="5"/>
      <c r="J56" s="13"/>
      <c r="L56" s="2"/>
    </row>
    <row r="57" spans="1:12" ht="37.5" x14ac:dyDescent="0.25">
      <c r="A57" s="9" t="s">
        <v>29</v>
      </c>
      <c r="B57" s="8"/>
      <c r="C57" s="4"/>
      <c r="D57" s="15" t="s">
        <v>144</v>
      </c>
      <c r="E57" s="41"/>
      <c r="F57" s="41"/>
      <c r="G57" s="13" t="s">
        <v>31</v>
      </c>
      <c r="H57" s="41"/>
      <c r="I57" s="41"/>
      <c r="J57" s="13" t="s">
        <v>121</v>
      </c>
      <c r="L57" s="2"/>
    </row>
    <row r="58" spans="1:12" ht="31.5" x14ac:dyDescent="0.25">
      <c r="A58" s="9"/>
      <c r="B58" s="8"/>
      <c r="C58" s="4"/>
      <c r="D58" s="15" t="s">
        <v>234</v>
      </c>
      <c r="E58" s="41"/>
      <c r="F58" s="41">
        <f>3+4</f>
        <v>7</v>
      </c>
      <c r="G58" s="13" t="s">
        <v>31</v>
      </c>
      <c r="H58" s="44">
        <f>(475.6+635)/F58</f>
        <v>158.65714285714284</v>
      </c>
      <c r="I58" s="41">
        <f>F58*H58</f>
        <v>1110.5999999999999</v>
      </c>
      <c r="J58" s="13" t="s">
        <v>121</v>
      </c>
      <c r="L58" s="2"/>
    </row>
    <row r="59" spans="1:12" ht="46.5" customHeight="1" x14ac:dyDescent="0.25">
      <c r="A59" s="9" t="s">
        <v>91</v>
      </c>
      <c r="B59" s="8"/>
      <c r="C59" s="4"/>
      <c r="D59" s="57" t="s">
        <v>126</v>
      </c>
      <c r="E59" s="58"/>
      <c r="F59" s="59">
        <v>925.5</v>
      </c>
      <c r="G59" s="59" t="s">
        <v>113</v>
      </c>
      <c r="H59" s="60">
        <f>(3896.8+3896.8+3896.8+3985.6+3985.6+3985.6+4089.8+4089.8+4089.8+4220.4+4220.4+4220.4)/F59</f>
        <v>52.488168557536468</v>
      </c>
      <c r="I59" s="60">
        <f t="shared" ref="I59:I61" si="0">F59*H59</f>
        <v>48577.8</v>
      </c>
      <c r="J59" s="59" t="s">
        <v>116</v>
      </c>
      <c r="L59" s="2"/>
    </row>
    <row r="60" spans="1:12" ht="46.5" customHeight="1" x14ac:dyDescent="0.25">
      <c r="A60" s="9"/>
      <c r="B60" s="8"/>
      <c r="C60" s="4"/>
      <c r="D60" s="61" t="s">
        <v>111</v>
      </c>
      <c r="E60" s="58"/>
      <c r="F60" s="59">
        <f>2011</f>
        <v>2011</v>
      </c>
      <c r="G60" s="59" t="s">
        <v>30</v>
      </c>
      <c r="H60" s="60">
        <f>167987.4/F60</f>
        <v>83.534261561412237</v>
      </c>
      <c r="I60" s="60">
        <f t="shared" si="0"/>
        <v>167987.4</v>
      </c>
      <c r="J60" s="59" t="s">
        <v>118</v>
      </c>
      <c r="L60" s="2"/>
    </row>
    <row r="61" spans="1:12" ht="46.5" customHeight="1" x14ac:dyDescent="0.25">
      <c r="A61" s="9"/>
      <c r="B61" s="8"/>
      <c r="C61" s="4"/>
      <c r="D61" s="61" t="s">
        <v>112</v>
      </c>
      <c r="E61" s="62"/>
      <c r="F61" s="62">
        <f>100</f>
        <v>100</v>
      </c>
      <c r="G61" s="59" t="s">
        <v>30</v>
      </c>
      <c r="H61" s="62">
        <f>8448.2/F61</f>
        <v>84.482000000000014</v>
      </c>
      <c r="I61" s="62">
        <f t="shared" si="0"/>
        <v>8448.2000000000007</v>
      </c>
      <c r="J61" s="59" t="s">
        <v>118</v>
      </c>
      <c r="L61" s="2"/>
    </row>
    <row r="62" spans="1:12" ht="46.5" customHeight="1" x14ac:dyDescent="0.25">
      <c r="A62" s="9"/>
      <c r="B62" s="8"/>
      <c r="C62" s="4"/>
      <c r="D62" s="15" t="s">
        <v>158</v>
      </c>
      <c r="E62" s="41" t="s">
        <v>141</v>
      </c>
      <c r="F62" s="41">
        <f>1+1</f>
        <v>2</v>
      </c>
      <c r="G62" s="13" t="s">
        <v>31</v>
      </c>
      <c r="H62" s="41">
        <f>(1400.2+1400.2)/F62</f>
        <v>1400.2</v>
      </c>
      <c r="I62" s="41">
        <f>F62*H62</f>
        <v>2800.4</v>
      </c>
      <c r="J62" s="13" t="s">
        <v>121</v>
      </c>
      <c r="L62" s="2"/>
    </row>
    <row r="63" spans="1:12" ht="46.5" customHeight="1" x14ac:dyDescent="0.25">
      <c r="A63" s="9"/>
      <c r="B63" s="8"/>
      <c r="C63" s="4"/>
      <c r="D63" s="15" t="s">
        <v>184</v>
      </c>
      <c r="E63" s="41" t="s">
        <v>141</v>
      </c>
      <c r="F63" s="41" t="s">
        <v>141</v>
      </c>
      <c r="G63" s="13" t="s">
        <v>31</v>
      </c>
      <c r="H63" s="41" t="s">
        <v>141</v>
      </c>
      <c r="I63" s="41" t="s">
        <v>141</v>
      </c>
      <c r="J63" s="13"/>
      <c r="L63" s="2"/>
    </row>
    <row r="64" spans="1:12" ht="46.5" customHeight="1" x14ac:dyDescent="0.25">
      <c r="A64" s="9"/>
      <c r="B64" s="8"/>
      <c r="C64" s="4"/>
      <c r="D64" s="15" t="s">
        <v>185</v>
      </c>
      <c r="E64" s="41" t="s">
        <v>141</v>
      </c>
      <c r="F64" s="41" t="s">
        <v>141</v>
      </c>
      <c r="G64" s="13" t="s">
        <v>31</v>
      </c>
      <c r="H64" s="41" t="s">
        <v>141</v>
      </c>
      <c r="I64" s="41" t="s">
        <v>141</v>
      </c>
      <c r="J64" s="13"/>
      <c r="L64" s="2"/>
    </row>
    <row r="65" spans="1:12" ht="46.5" customHeight="1" x14ac:dyDescent="0.25">
      <c r="A65" s="9"/>
      <c r="B65" s="8"/>
      <c r="C65" s="4"/>
      <c r="D65" s="15" t="s">
        <v>157</v>
      </c>
      <c r="E65" s="41" t="s">
        <v>141</v>
      </c>
      <c r="F65" s="41" t="s">
        <v>141</v>
      </c>
      <c r="G65" s="13" t="s">
        <v>31</v>
      </c>
      <c r="H65" s="41" t="s">
        <v>141</v>
      </c>
      <c r="I65" s="41" t="s">
        <v>141</v>
      </c>
      <c r="J65" s="13"/>
      <c r="L65" s="2"/>
    </row>
    <row r="66" spans="1:12" ht="46.5" customHeight="1" x14ac:dyDescent="0.25">
      <c r="A66" s="9"/>
      <c r="B66" s="8"/>
      <c r="C66" s="4"/>
      <c r="D66" s="15" t="s">
        <v>186</v>
      </c>
      <c r="E66" s="41" t="s">
        <v>141</v>
      </c>
      <c r="F66" s="41" t="s">
        <v>141</v>
      </c>
      <c r="G66" s="13" t="s">
        <v>31</v>
      </c>
      <c r="H66" s="41" t="s">
        <v>141</v>
      </c>
      <c r="I66" s="41" t="s">
        <v>141</v>
      </c>
      <c r="J66" s="13"/>
      <c r="L66" s="2"/>
    </row>
    <row r="67" spans="1:12" ht="46.5" customHeight="1" x14ac:dyDescent="0.25">
      <c r="A67" s="9"/>
      <c r="B67" s="8"/>
      <c r="C67" s="4"/>
      <c r="D67" s="15" t="s">
        <v>187</v>
      </c>
      <c r="E67" s="41"/>
      <c r="F67" s="41">
        <f>2</f>
        <v>2</v>
      </c>
      <c r="G67" s="13" t="s">
        <v>31</v>
      </c>
      <c r="H67" s="41">
        <f>2913.8/F67</f>
        <v>1456.9</v>
      </c>
      <c r="I67" s="41">
        <f t="shared" ref="I67" si="1">F67*H67</f>
        <v>2913.8</v>
      </c>
      <c r="J67" s="13" t="s">
        <v>118</v>
      </c>
      <c r="L67" s="2"/>
    </row>
    <row r="68" spans="1:12" ht="46.5" customHeight="1" x14ac:dyDescent="0.25">
      <c r="A68" s="9"/>
      <c r="B68" s="8"/>
      <c r="C68" s="4"/>
      <c r="D68" s="15" t="s">
        <v>159</v>
      </c>
      <c r="E68" s="41" t="s">
        <v>141</v>
      </c>
      <c r="F68" s="41" t="s">
        <v>141</v>
      </c>
      <c r="G68" s="13" t="s">
        <v>31</v>
      </c>
      <c r="H68" s="41" t="s">
        <v>141</v>
      </c>
      <c r="I68" s="41" t="s">
        <v>141</v>
      </c>
      <c r="J68" s="13"/>
      <c r="L68" s="2"/>
    </row>
    <row r="69" spans="1:12" ht="46.5" customHeight="1" x14ac:dyDescent="0.25">
      <c r="A69" s="9"/>
      <c r="B69" s="8"/>
      <c r="C69" s="4"/>
      <c r="D69" s="15" t="s">
        <v>193</v>
      </c>
      <c r="E69" s="41" t="s">
        <v>141</v>
      </c>
      <c r="F69" s="41" t="s">
        <v>141</v>
      </c>
      <c r="G69" s="13" t="s">
        <v>30</v>
      </c>
      <c r="H69" s="41" t="s">
        <v>141</v>
      </c>
      <c r="I69" s="41" t="s">
        <v>141</v>
      </c>
      <c r="J69" s="13"/>
      <c r="L69" s="2"/>
    </row>
    <row r="70" spans="1:12" ht="46.5" customHeight="1" x14ac:dyDescent="0.25">
      <c r="A70" s="9"/>
      <c r="B70" s="8"/>
      <c r="C70" s="4"/>
      <c r="D70" s="15" t="s">
        <v>194</v>
      </c>
      <c r="E70" s="41" t="s">
        <v>141</v>
      </c>
      <c r="F70" s="41" t="s">
        <v>141</v>
      </c>
      <c r="G70" s="13" t="s">
        <v>30</v>
      </c>
      <c r="H70" s="41" t="s">
        <v>141</v>
      </c>
      <c r="I70" s="41" t="s">
        <v>141</v>
      </c>
      <c r="J70" s="13"/>
      <c r="L70" s="2"/>
    </row>
    <row r="71" spans="1:12" ht="46.5" customHeight="1" x14ac:dyDescent="0.25">
      <c r="A71" s="9"/>
      <c r="B71" s="8"/>
      <c r="C71" s="4"/>
      <c r="D71" s="15" t="s">
        <v>172</v>
      </c>
      <c r="E71" s="41" t="s">
        <v>141</v>
      </c>
      <c r="F71" s="41" t="s">
        <v>141</v>
      </c>
      <c r="G71" s="13" t="s">
        <v>155</v>
      </c>
      <c r="H71" s="41" t="s">
        <v>141</v>
      </c>
      <c r="I71" s="41" t="s">
        <v>141</v>
      </c>
      <c r="J71" s="13"/>
      <c r="L71" s="2"/>
    </row>
    <row r="72" spans="1:12" ht="46.5" customHeight="1" x14ac:dyDescent="0.25">
      <c r="A72" s="9"/>
      <c r="B72" s="8"/>
      <c r="C72" s="4"/>
      <c r="D72" s="15" t="s">
        <v>171</v>
      </c>
      <c r="E72" s="41" t="s">
        <v>141</v>
      </c>
      <c r="F72" s="41" t="s">
        <v>141</v>
      </c>
      <c r="G72" s="13" t="s">
        <v>155</v>
      </c>
      <c r="H72" s="41" t="s">
        <v>141</v>
      </c>
      <c r="I72" s="41" t="s">
        <v>141</v>
      </c>
      <c r="J72" s="13"/>
      <c r="L72" s="2"/>
    </row>
    <row r="73" spans="1:12" ht="46.5" customHeight="1" x14ac:dyDescent="0.25">
      <c r="A73" s="9"/>
      <c r="B73" s="8"/>
      <c r="C73" s="4"/>
      <c r="D73" s="15" t="s">
        <v>143</v>
      </c>
      <c r="E73" s="41" t="s">
        <v>141</v>
      </c>
      <c r="F73" s="41" t="s">
        <v>141</v>
      </c>
      <c r="G73" s="13" t="s">
        <v>31</v>
      </c>
      <c r="H73" s="41" t="s">
        <v>141</v>
      </c>
      <c r="I73" s="41" t="s">
        <v>141</v>
      </c>
      <c r="J73" s="13"/>
      <c r="L73" s="2"/>
    </row>
    <row r="74" spans="1:12" ht="31.5" x14ac:dyDescent="0.25">
      <c r="A74" s="9" t="s">
        <v>82</v>
      </c>
      <c r="B74" s="8"/>
      <c r="C74" s="4"/>
      <c r="D74" s="15" t="s">
        <v>163</v>
      </c>
      <c r="E74" s="41" t="s">
        <v>141</v>
      </c>
      <c r="F74" s="41" t="s">
        <v>141</v>
      </c>
      <c r="G74" s="13" t="s">
        <v>53</v>
      </c>
      <c r="H74" s="41" t="s">
        <v>141</v>
      </c>
      <c r="I74" s="41" t="s">
        <v>141</v>
      </c>
      <c r="J74" s="13"/>
      <c r="L74" s="2"/>
    </row>
    <row r="75" spans="1:12" ht="31.5" x14ac:dyDescent="0.25">
      <c r="A75" s="9"/>
      <c r="B75" s="8"/>
      <c r="C75" s="4"/>
      <c r="D75" s="15" t="s">
        <v>164</v>
      </c>
      <c r="E75" s="41" t="s">
        <v>141</v>
      </c>
      <c r="F75" s="41" t="s">
        <v>141</v>
      </c>
      <c r="G75" s="13" t="s">
        <v>53</v>
      </c>
      <c r="H75" s="41" t="s">
        <v>141</v>
      </c>
      <c r="I75" s="41" t="s">
        <v>141</v>
      </c>
      <c r="J75" s="13"/>
      <c r="L75" s="2"/>
    </row>
    <row r="76" spans="1:12" ht="18.75" x14ac:dyDescent="0.25">
      <c r="A76" s="9"/>
      <c r="B76" s="8"/>
      <c r="C76" s="4"/>
      <c r="D76" s="15" t="s">
        <v>191</v>
      </c>
      <c r="E76" s="41"/>
      <c r="F76" s="41">
        <f>2</f>
        <v>2</v>
      </c>
      <c r="G76" s="13" t="s">
        <v>31</v>
      </c>
      <c r="H76" s="41">
        <f>2394.2/F76</f>
        <v>1197.0999999999999</v>
      </c>
      <c r="I76" s="76">
        <f t="shared" ref="I76" si="2">F76*H76</f>
        <v>2394.1999999999998</v>
      </c>
      <c r="J76" s="13" t="s">
        <v>116</v>
      </c>
      <c r="L76" s="2"/>
    </row>
    <row r="77" spans="1:12" ht="18.75" x14ac:dyDescent="0.25">
      <c r="A77" s="9"/>
      <c r="B77" s="8"/>
      <c r="C77" s="4"/>
      <c r="D77" s="15" t="s">
        <v>134</v>
      </c>
      <c r="E77" s="41"/>
      <c r="F77" s="41">
        <f>6</f>
        <v>6</v>
      </c>
      <c r="G77" s="13" t="s">
        <v>31</v>
      </c>
      <c r="H77" s="41">
        <f>7045.2/F77</f>
        <v>1174.2</v>
      </c>
      <c r="I77" s="76">
        <f>F77*H77</f>
        <v>7045.2000000000007</v>
      </c>
      <c r="J77" s="13" t="s">
        <v>118</v>
      </c>
      <c r="L77" s="2"/>
    </row>
    <row r="78" spans="1:12" ht="18.75" x14ac:dyDescent="0.25">
      <c r="A78" s="9"/>
      <c r="B78" s="8"/>
      <c r="C78" s="4"/>
      <c r="D78" s="15" t="s">
        <v>154</v>
      </c>
      <c r="E78" s="41" t="s">
        <v>141</v>
      </c>
      <c r="F78" s="41" t="s">
        <v>141</v>
      </c>
      <c r="G78" s="13" t="s">
        <v>31</v>
      </c>
      <c r="H78" s="41" t="s">
        <v>141</v>
      </c>
      <c r="I78" s="41" t="s">
        <v>141</v>
      </c>
      <c r="J78" s="13"/>
      <c r="L78" s="2"/>
    </row>
    <row r="79" spans="1:12" ht="31.5" x14ac:dyDescent="0.25">
      <c r="A79" s="9"/>
      <c r="B79" s="8"/>
      <c r="C79" s="4"/>
      <c r="D79" s="15" t="s">
        <v>174</v>
      </c>
      <c r="E79" s="41" t="s">
        <v>141</v>
      </c>
      <c r="F79" s="41" t="s">
        <v>141</v>
      </c>
      <c r="G79" s="13" t="s">
        <v>175</v>
      </c>
      <c r="H79" s="41" t="s">
        <v>141</v>
      </c>
      <c r="I79" s="41" t="s">
        <v>141</v>
      </c>
      <c r="J79" s="13"/>
      <c r="L79" s="2"/>
    </row>
    <row r="80" spans="1:12" ht="31.5" x14ac:dyDescent="0.25">
      <c r="A80" s="9"/>
      <c r="B80" s="8"/>
      <c r="C80" s="4"/>
      <c r="D80" s="15" t="s">
        <v>173</v>
      </c>
      <c r="E80" s="41" t="s">
        <v>141</v>
      </c>
      <c r="F80" s="41" t="s">
        <v>141</v>
      </c>
      <c r="G80" s="13" t="s">
        <v>31</v>
      </c>
      <c r="H80" s="41" t="s">
        <v>141</v>
      </c>
      <c r="I80" s="41" t="s">
        <v>141</v>
      </c>
      <c r="J80" s="13"/>
      <c r="L80" s="2"/>
    </row>
    <row r="81" spans="1:12" ht="18.75" x14ac:dyDescent="0.25">
      <c r="A81" s="9"/>
      <c r="B81" s="8"/>
      <c r="C81" s="4"/>
      <c r="D81" s="15" t="s">
        <v>165</v>
      </c>
      <c r="E81" s="41" t="s">
        <v>141</v>
      </c>
      <c r="F81" s="41" t="s">
        <v>141</v>
      </c>
      <c r="G81" s="13" t="s">
        <v>166</v>
      </c>
      <c r="H81" s="41" t="s">
        <v>141</v>
      </c>
      <c r="I81" s="41" t="s">
        <v>141</v>
      </c>
      <c r="J81" s="13"/>
      <c r="L81" s="2"/>
    </row>
    <row r="82" spans="1:12" ht="18.75" x14ac:dyDescent="0.25">
      <c r="A82" s="9" t="s">
        <v>20</v>
      </c>
      <c r="B82" s="8"/>
      <c r="C82" s="4"/>
      <c r="D82" s="15" t="s">
        <v>67</v>
      </c>
      <c r="E82" s="41" t="s">
        <v>141</v>
      </c>
      <c r="F82" s="41" t="s">
        <v>141</v>
      </c>
      <c r="G82" s="13" t="s">
        <v>30</v>
      </c>
      <c r="H82" s="41" t="s">
        <v>141</v>
      </c>
      <c r="I82" s="41" t="s">
        <v>141</v>
      </c>
      <c r="J82" s="13"/>
      <c r="L82" s="2"/>
    </row>
    <row r="83" spans="1:12" ht="31.5" x14ac:dyDescent="0.25">
      <c r="A83" s="9" t="s">
        <v>21</v>
      </c>
      <c r="B83" s="8"/>
      <c r="C83" s="4"/>
      <c r="D83" s="15" t="s">
        <v>69</v>
      </c>
      <c r="E83" s="41" t="s">
        <v>141</v>
      </c>
      <c r="F83" s="41" t="s">
        <v>141</v>
      </c>
      <c r="G83" s="13" t="s">
        <v>53</v>
      </c>
      <c r="H83" s="41" t="s">
        <v>141</v>
      </c>
      <c r="I83" s="41" t="s">
        <v>141</v>
      </c>
      <c r="J83" s="13"/>
      <c r="L83" s="2"/>
    </row>
    <row r="84" spans="1:12" ht="18.75" x14ac:dyDescent="0.25">
      <c r="A84" s="47"/>
      <c r="B84" s="48"/>
      <c r="C84" s="22"/>
      <c r="D84" s="30"/>
      <c r="E84" s="46"/>
      <c r="F84" s="46"/>
      <c r="G84" s="31"/>
      <c r="H84" s="41"/>
      <c r="I84" s="41">
        <f>SUM(I57:I83)</f>
        <v>241277.6</v>
      </c>
      <c r="J84" s="13"/>
      <c r="L84" s="2"/>
    </row>
    <row r="85" spans="1:12" ht="18.75" x14ac:dyDescent="0.3">
      <c r="A85" s="66" t="s">
        <v>70</v>
      </c>
      <c r="B85" s="67"/>
      <c r="C85" s="67"/>
      <c r="D85" s="67"/>
      <c r="E85" s="67"/>
      <c r="F85" s="67"/>
      <c r="G85" s="68"/>
      <c r="H85" s="19"/>
      <c r="I85" s="5"/>
      <c r="J85" s="13"/>
      <c r="L85" s="2"/>
    </row>
    <row r="86" spans="1:12" ht="37.5" x14ac:dyDescent="0.25">
      <c r="A86" s="9" t="s">
        <v>91</v>
      </c>
      <c r="B86" s="8"/>
      <c r="C86" s="4"/>
      <c r="D86" s="4" t="s">
        <v>129</v>
      </c>
      <c r="E86" s="31"/>
      <c r="F86" s="13">
        <f>3+3+1+1+2+2+1+1+4+1</f>
        <v>19</v>
      </c>
      <c r="G86" s="13" t="s">
        <v>115</v>
      </c>
      <c r="H86" s="33">
        <f>(1895.8+1895.8+632+645.2+1325.2+1325.2+664.6+685.2+2737+685.2)/F86/3</f>
        <v>219.14385964912285</v>
      </c>
      <c r="I86" s="33">
        <f>F86*H86</f>
        <v>4163.7333333333345</v>
      </c>
      <c r="J86" s="13" t="s">
        <v>116</v>
      </c>
      <c r="L86" s="2"/>
    </row>
    <row r="87" spans="1:12" ht="18.75" x14ac:dyDescent="0.25">
      <c r="A87" s="9"/>
      <c r="B87" s="8"/>
      <c r="C87" s="4"/>
      <c r="D87" s="15" t="s">
        <v>154</v>
      </c>
      <c r="E87" s="41" t="s">
        <v>141</v>
      </c>
      <c r="F87" s="41" t="s">
        <v>141</v>
      </c>
      <c r="G87" s="13" t="s">
        <v>31</v>
      </c>
      <c r="H87" s="41" t="s">
        <v>141</v>
      </c>
      <c r="I87" s="41" t="s">
        <v>141</v>
      </c>
      <c r="J87" s="13"/>
      <c r="L87" s="2"/>
    </row>
    <row r="88" spans="1:12" ht="31.5" x14ac:dyDescent="0.25">
      <c r="A88" s="9"/>
      <c r="B88" s="8"/>
      <c r="C88" s="4"/>
      <c r="D88" s="15" t="s">
        <v>172</v>
      </c>
      <c r="E88" s="41" t="s">
        <v>141</v>
      </c>
      <c r="F88" s="41">
        <f>2</f>
        <v>2</v>
      </c>
      <c r="G88" s="13" t="s">
        <v>155</v>
      </c>
      <c r="H88" s="41">
        <f>13579.8/F88</f>
        <v>6789.9</v>
      </c>
      <c r="I88" s="76">
        <f>F88*H88</f>
        <v>13579.8</v>
      </c>
      <c r="J88" s="13" t="s">
        <v>121</v>
      </c>
      <c r="L88" s="2"/>
    </row>
    <row r="89" spans="1:12" ht="31.5" x14ac:dyDescent="0.25">
      <c r="A89" s="9"/>
      <c r="B89" s="8"/>
      <c r="C89" s="4"/>
      <c r="D89" s="15" t="s">
        <v>196</v>
      </c>
      <c r="E89" s="41" t="s">
        <v>141</v>
      </c>
      <c r="F89" s="41" t="s">
        <v>141</v>
      </c>
      <c r="G89" s="13" t="s">
        <v>30</v>
      </c>
      <c r="H89" s="41" t="s">
        <v>141</v>
      </c>
      <c r="I89" s="41" t="s">
        <v>141</v>
      </c>
      <c r="J89" s="13"/>
      <c r="L89" s="2"/>
    </row>
    <row r="90" spans="1:12" ht="78.75" x14ac:dyDescent="0.25">
      <c r="A90" s="9"/>
      <c r="B90" s="8"/>
      <c r="C90" s="4"/>
      <c r="D90" s="15" t="s">
        <v>197</v>
      </c>
      <c r="E90" s="41" t="s">
        <v>141</v>
      </c>
      <c r="F90" s="41" t="s">
        <v>141</v>
      </c>
      <c r="G90" s="13" t="s">
        <v>175</v>
      </c>
      <c r="H90" s="41" t="s">
        <v>141</v>
      </c>
      <c r="I90" s="41" t="s">
        <v>141</v>
      </c>
      <c r="J90" s="13"/>
      <c r="L90" s="2"/>
    </row>
    <row r="91" spans="1:12" ht="47.25" x14ac:dyDescent="0.25">
      <c r="A91" s="9"/>
      <c r="B91" s="8"/>
      <c r="C91" s="4"/>
      <c r="D91" s="15" t="s">
        <v>198</v>
      </c>
      <c r="E91" s="41" t="s">
        <v>141</v>
      </c>
      <c r="F91" s="41" t="s">
        <v>141</v>
      </c>
      <c r="G91" s="13" t="s">
        <v>30</v>
      </c>
      <c r="H91" s="41" t="s">
        <v>141</v>
      </c>
      <c r="I91" s="41" t="s">
        <v>141</v>
      </c>
      <c r="J91" s="13"/>
      <c r="L91" s="2"/>
    </row>
    <row r="92" spans="1:12" ht="31.5" x14ac:dyDescent="0.25">
      <c r="A92" s="9"/>
      <c r="B92" s="8"/>
      <c r="C92" s="4"/>
      <c r="D92" s="15" t="s">
        <v>195</v>
      </c>
      <c r="E92" s="41" t="s">
        <v>141</v>
      </c>
      <c r="F92" s="41" t="s">
        <v>141</v>
      </c>
      <c r="G92" s="13" t="s">
        <v>155</v>
      </c>
      <c r="H92" s="41" t="s">
        <v>141</v>
      </c>
      <c r="I92" s="41" t="s">
        <v>141</v>
      </c>
      <c r="J92" s="13"/>
      <c r="L92" s="2"/>
    </row>
    <row r="93" spans="1:12" ht="31.5" x14ac:dyDescent="0.25">
      <c r="A93" s="9"/>
      <c r="B93" s="8"/>
      <c r="C93" s="4"/>
      <c r="D93" s="15" t="s">
        <v>192</v>
      </c>
      <c r="E93" s="41" t="s">
        <v>141</v>
      </c>
      <c r="F93" s="41" t="s">
        <v>141</v>
      </c>
      <c r="G93" s="13" t="s">
        <v>30</v>
      </c>
      <c r="H93" s="41" t="s">
        <v>141</v>
      </c>
      <c r="I93" s="41" t="s">
        <v>141</v>
      </c>
      <c r="J93" s="13"/>
      <c r="L93" s="2"/>
    </row>
    <row r="94" spans="1:12" ht="18.75" x14ac:dyDescent="0.25">
      <c r="A94" s="9" t="s">
        <v>82</v>
      </c>
      <c r="B94" s="8"/>
      <c r="C94" s="4"/>
      <c r="D94" s="15" t="s">
        <v>68</v>
      </c>
      <c r="E94" s="41" t="s">
        <v>141</v>
      </c>
      <c r="F94" s="41" t="s">
        <v>141</v>
      </c>
      <c r="G94" s="13" t="s">
        <v>53</v>
      </c>
      <c r="H94" s="41" t="s">
        <v>141</v>
      </c>
      <c r="I94" s="41" t="s">
        <v>141</v>
      </c>
      <c r="J94" s="13"/>
      <c r="L94" s="2"/>
    </row>
    <row r="95" spans="1:12" ht="18.75" x14ac:dyDescent="0.25">
      <c r="A95" s="9"/>
      <c r="B95" s="8"/>
      <c r="C95" s="4"/>
      <c r="D95" s="15" t="s">
        <v>187</v>
      </c>
      <c r="E95" s="41"/>
      <c r="F95" s="41">
        <f>2+2</f>
        <v>4</v>
      </c>
      <c r="G95" s="13" t="s">
        <v>31</v>
      </c>
      <c r="H95" s="41">
        <f>(2992.6+2992.6)/F95</f>
        <v>1496.3</v>
      </c>
      <c r="I95" s="41">
        <f t="shared" ref="I95" si="3">F95*H95</f>
        <v>5985.2</v>
      </c>
      <c r="J95" s="13" t="s">
        <v>118</v>
      </c>
      <c r="L95" s="2"/>
    </row>
    <row r="96" spans="1:12" ht="18.75" x14ac:dyDescent="0.25">
      <c r="A96" s="9"/>
      <c r="B96" s="8"/>
      <c r="C96" s="4"/>
      <c r="D96" s="15" t="s">
        <v>210</v>
      </c>
      <c r="E96" s="41"/>
      <c r="F96" s="41"/>
      <c r="G96" s="13" t="s">
        <v>31</v>
      </c>
      <c r="H96" s="41"/>
      <c r="I96" s="41"/>
      <c r="J96" s="13" t="s">
        <v>121</v>
      </c>
      <c r="L96" s="2"/>
    </row>
    <row r="97" spans="1:12" ht="31.5" x14ac:dyDescent="0.25">
      <c r="A97" s="9" t="s">
        <v>21</v>
      </c>
      <c r="B97" s="8"/>
      <c r="C97" s="4"/>
      <c r="D97" s="15" t="s">
        <v>69</v>
      </c>
      <c r="E97" s="41" t="s">
        <v>141</v>
      </c>
      <c r="F97" s="41" t="s">
        <v>141</v>
      </c>
      <c r="G97" s="13" t="s">
        <v>145</v>
      </c>
      <c r="H97" s="41" t="s">
        <v>141</v>
      </c>
      <c r="I97" s="41" t="s">
        <v>141</v>
      </c>
      <c r="J97" s="13"/>
      <c r="L97" s="2"/>
    </row>
    <row r="98" spans="1:12" ht="18.75" x14ac:dyDescent="0.25">
      <c r="A98" s="47"/>
      <c r="B98" s="48"/>
      <c r="C98" s="22"/>
      <c r="D98" s="30"/>
      <c r="E98" s="46"/>
      <c r="F98" s="46"/>
      <c r="G98" s="31"/>
      <c r="H98" s="41"/>
      <c r="I98" s="44">
        <f>SUM(I86:I97)</f>
        <v>23728.733333333334</v>
      </c>
      <c r="J98" s="13"/>
      <c r="L98" s="2"/>
    </row>
    <row r="99" spans="1:12" ht="18.75" x14ac:dyDescent="0.3">
      <c r="A99" s="66" t="s">
        <v>71</v>
      </c>
      <c r="B99" s="67"/>
      <c r="C99" s="67"/>
      <c r="D99" s="67"/>
      <c r="E99" s="67"/>
      <c r="F99" s="67"/>
      <c r="G99" s="68"/>
      <c r="H99" s="13"/>
      <c r="I99" s="5"/>
      <c r="J99" s="13"/>
      <c r="L99" s="2"/>
    </row>
    <row r="100" spans="1:12" ht="37.5" x14ac:dyDescent="0.25">
      <c r="A100" s="9" t="s">
        <v>91</v>
      </c>
      <c r="B100" s="8"/>
      <c r="C100" s="4"/>
      <c r="D100" s="4" t="s">
        <v>130</v>
      </c>
      <c r="E100" s="31"/>
      <c r="F100" s="13">
        <f>3+3+1+1+2+2+1+1+4+1</f>
        <v>19</v>
      </c>
      <c r="G100" s="13" t="s">
        <v>115</v>
      </c>
      <c r="H100" s="33">
        <f>(1895.8+1895.8+632+645.2+1325.2+1325.2+664.6+685.2+2737+685.2)/F100/3</f>
        <v>219.14385964912285</v>
      </c>
      <c r="I100" s="33">
        <f>F100*H100</f>
        <v>4163.7333333333345</v>
      </c>
      <c r="J100" s="13" t="s">
        <v>116</v>
      </c>
      <c r="L100" s="2"/>
    </row>
    <row r="101" spans="1:12" ht="31.5" x14ac:dyDescent="0.25">
      <c r="A101" s="9"/>
      <c r="B101" s="8"/>
      <c r="C101" s="4"/>
      <c r="D101" s="15" t="s">
        <v>176</v>
      </c>
      <c r="E101" s="41"/>
      <c r="F101" s="41"/>
      <c r="G101" s="13" t="s">
        <v>30</v>
      </c>
      <c r="H101" s="41"/>
      <c r="I101" s="41"/>
      <c r="J101" s="13"/>
      <c r="L101" s="2"/>
    </row>
    <row r="102" spans="1:12" ht="78.75" x14ac:dyDescent="0.25">
      <c r="A102" s="9"/>
      <c r="B102" s="8"/>
      <c r="C102" s="4"/>
      <c r="D102" s="15" t="s">
        <v>209</v>
      </c>
      <c r="E102" s="41"/>
      <c r="F102" s="41"/>
      <c r="G102" s="13" t="s">
        <v>175</v>
      </c>
      <c r="H102" s="41"/>
      <c r="I102" s="41"/>
      <c r="J102" s="13"/>
      <c r="L102" s="2"/>
    </row>
    <row r="103" spans="1:12" ht="47.25" x14ac:dyDescent="0.25">
      <c r="A103" s="9"/>
      <c r="B103" s="8"/>
      <c r="C103" s="4"/>
      <c r="D103" s="15" t="s">
        <v>179</v>
      </c>
      <c r="E103" s="41"/>
      <c r="F103" s="41"/>
      <c r="G103" s="13" t="s">
        <v>30</v>
      </c>
      <c r="H103" s="41"/>
      <c r="I103" s="41"/>
      <c r="J103" s="13"/>
      <c r="L103" s="2"/>
    </row>
    <row r="104" spans="1:12" ht="78.75" x14ac:dyDescent="0.25">
      <c r="A104" s="9"/>
      <c r="B104" s="8"/>
      <c r="C104" s="4"/>
      <c r="D104" s="15" t="s">
        <v>177</v>
      </c>
      <c r="E104" s="41" t="s">
        <v>141</v>
      </c>
      <c r="F104" s="41" t="s">
        <v>141</v>
      </c>
      <c r="G104" s="13" t="s">
        <v>175</v>
      </c>
      <c r="H104" s="41" t="s">
        <v>141</v>
      </c>
      <c r="I104" s="41" t="s">
        <v>141</v>
      </c>
      <c r="J104" s="13"/>
      <c r="L104" s="2"/>
    </row>
    <row r="105" spans="1:12" ht="47.25" x14ac:dyDescent="0.25">
      <c r="A105" s="9"/>
      <c r="B105" s="8"/>
      <c r="C105" s="4"/>
      <c r="D105" s="15" t="s">
        <v>178</v>
      </c>
      <c r="E105" s="41" t="s">
        <v>141</v>
      </c>
      <c r="F105" s="41" t="s">
        <v>141</v>
      </c>
      <c r="G105" s="13" t="s">
        <v>30</v>
      </c>
      <c r="H105" s="41" t="s">
        <v>141</v>
      </c>
      <c r="I105" s="41" t="s">
        <v>141</v>
      </c>
      <c r="J105" s="13"/>
      <c r="L105" s="2"/>
    </row>
    <row r="106" spans="1:12" ht="47.25" x14ac:dyDescent="0.25">
      <c r="A106" s="9"/>
      <c r="B106" s="8"/>
      <c r="C106" s="4"/>
      <c r="D106" s="15" t="s">
        <v>179</v>
      </c>
      <c r="E106" s="41" t="s">
        <v>141</v>
      </c>
      <c r="F106" s="41" t="s">
        <v>141</v>
      </c>
      <c r="G106" s="13" t="s">
        <v>30</v>
      </c>
      <c r="H106" s="41" t="s">
        <v>141</v>
      </c>
      <c r="I106" s="41" t="s">
        <v>141</v>
      </c>
      <c r="J106" s="13"/>
      <c r="L106" s="2"/>
    </row>
    <row r="107" spans="1:12" ht="31.5" x14ac:dyDescent="0.25">
      <c r="A107" s="9"/>
      <c r="B107" s="8"/>
      <c r="C107" s="4"/>
      <c r="D107" s="15" t="s">
        <v>180</v>
      </c>
      <c r="E107" s="41" t="s">
        <v>141</v>
      </c>
      <c r="F107" s="41" t="s">
        <v>141</v>
      </c>
      <c r="G107" s="13" t="s">
        <v>30</v>
      </c>
      <c r="H107" s="41" t="s">
        <v>141</v>
      </c>
      <c r="I107" s="41" t="s">
        <v>141</v>
      </c>
      <c r="J107" s="13"/>
      <c r="L107" s="2"/>
    </row>
    <row r="108" spans="1:12" ht="31.5" x14ac:dyDescent="0.25">
      <c r="A108" s="9"/>
      <c r="B108" s="8"/>
      <c r="C108" s="4"/>
      <c r="D108" s="15" t="s">
        <v>181</v>
      </c>
      <c r="E108" s="41" t="s">
        <v>141</v>
      </c>
      <c r="F108" s="41" t="s">
        <v>141</v>
      </c>
      <c r="G108" s="13" t="s">
        <v>30</v>
      </c>
      <c r="H108" s="41" t="s">
        <v>141</v>
      </c>
      <c r="I108" s="41" t="s">
        <v>141</v>
      </c>
      <c r="J108" s="13"/>
      <c r="L108" s="2"/>
    </row>
    <row r="109" spans="1:12" ht="31.5" x14ac:dyDescent="0.25">
      <c r="A109" s="9"/>
      <c r="B109" s="8"/>
      <c r="C109" s="4"/>
      <c r="D109" s="15" t="s">
        <v>182</v>
      </c>
      <c r="E109" s="41" t="s">
        <v>141</v>
      </c>
      <c r="F109" s="41" t="s">
        <v>141</v>
      </c>
      <c r="G109" s="13" t="s">
        <v>30</v>
      </c>
      <c r="H109" s="41" t="s">
        <v>141</v>
      </c>
      <c r="I109" s="41" t="s">
        <v>141</v>
      </c>
      <c r="J109" s="13"/>
      <c r="L109" s="2"/>
    </row>
    <row r="110" spans="1:12" ht="31.5" x14ac:dyDescent="0.25">
      <c r="A110" s="9"/>
      <c r="B110" s="8"/>
      <c r="C110" s="4"/>
      <c r="D110" s="15" t="s">
        <v>170</v>
      </c>
      <c r="E110" s="41" t="s">
        <v>141</v>
      </c>
      <c r="F110" s="41" t="s">
        <v>141</v>
      </c>
      <c r="G110" s="13" t="s">
        <v>155</v>
      </c>
      <c r="H110" s="41" t="s">
        <v>141</v>
      </c>
      <c r="I110" s="41" t="s">
        <v>141</v>
      </c>
      <c r="J110" s="13"/>
      <c r="L110" s="2"/>
    </row>
    <row r="111" spans="1:12" ht="18.75" x14ac:dyDescent="0.25">
      <c r="A111" s="9"/>
      <c r="B111" s="8"/>
      <c r="C111" s="4"/>
      <c r="D111" s="15" t="s">
        <v>206</v>
      </c>
      <c r="E111" s="41" t="s">
        <v>141</v>
      </c>
      <c r="F111" s="41" t="s">
        <v>141</v>
      </c>
      <c r="G111" s="13" t="s">
        <v>31</v>
      </c>
      <c r="H111" s="41" t="s">
        <v>141</v>
      </c>
      <c r="I111" s="41" t="s">
        <v>141</v>
      </c>
      <c r="J111" s="13"/>
      <c r="L111" s="2"/>
    </row>
    <row r="112" spans="1:12" ht="18.75" x14ac:dyDescent="0.25">
      <c r="A112" s="9"/>
      <c r="B112" s="8"/>
      <c r="C112" s="4"/>
      <c r="D112" s="15" t="s">
        <v>207</v>
      </c>
      <c r="E112" s="41" t="s">
        <v>141</v>
      </c>
      <c r="F112" s="41" t="s">
        <v>141</v>
      </c>
      <c r="G112" s="13" t="s">
        <v>31</v>
      </c>
      <c r="H112" s="41" t="s">
        <v>141</v>
      </c>
      <c r="I112" s="41" t="s">
        <v>141</v>
      </c>
      <c r="J112" s="13"/>
      <c r="L112" s="2"/>
    </row>
    <row r="113" spans="1:12" ht="18.75" x14ac:dyDescent="0.25">
      <c r="A113" s="9" t="s">
        <v>82</v>
      </c>
      <c r="B113" s="8"/>
      <c r="C113" s="4"/>
      <c r="D113" s="15" t="s">
        <v>68</v>
      </c>
      <c r="E113" s="41" t="s">
        <v>141</v>
      </c>
      <c r="F113" s="41" t="s">
        <v>141</v>
      </c>
      <c r="G113" s="14" t="s">
        <v>53</v>
      </c>
      <c r="H113" s="41" t="s">
        <v>141</v>
      </c>
      <c r="I113" s="41" t="s">
        <v>141</v>
      </c>
      <c r="J113" s="13"/>
      <c r="L113" s="2"/>
    </row>
    <row r="114" spans="1:12" ht="31.5" x14ac:dyDescent="0.25">
      <c r="A114" s="9" t="s">
        <v>21</v>
      </c>
      <c r="B114" s="8"/>
      <c r="C114" s="4"/>
      <c r="D114" s="15" t="s">
        <v>69</v>
      </c>
      <c r="E114" s="41" t="s">
        <v>141</v>
      </c>
      <c r="F114" s="41" t="s">
        <v>141</v>
      </c>
      <c r="G114" s="14" t="s">
        <v>53</v>
      </c>
      <c r="H114" s="41" t="s">
        <v>141</v>
      </c>
      <c r="I114" s="41" t="s">
        <v>141</v>
      </c>
      <c r="J114" s="13"/>
      <c r="L114" s="2"/>
    </row>
    <row r="115" spans="1:12" ht="18.75" x14ac:dyDescent="0.25">
      <c r="A115" s="9"/>
      <c r="B115" s="8"/>
      <c r="C115" s="4"/>
      <c r="D115" s="15" t="s">
        <v>232</v>
      </c>
      <c r="E115" s="41"/>
      <c r="F115" s="41">
        <f>1</f>
        <v>1</v>
      </c>
      <c r="G115" s="14" t="s">
        <v>53</v>
      </c>
      <c r="H115" s="41">
        <f>12463.2/F115</f>
        <v>12463.2</v>
      </c>
      <c r="I115" s="76">
        <f>F115*H115</f>
        <v>12463.2</v>
      </c>
      <c r="J115" s="13" t="s">
        <v>118</v>
      </c>
      <c r="L115" s="2"/>
    </row>
    <row r="116" spans="1:12" ht="18.75" x14ac:dyDescent="0.25">
      <c r="A116" s="47"/>
      <c r="B116" s="48"/>
      <c r="C116" s="22"/>
      <c r="D116" s="30"/>
      <c r="E116" s="46"/>
      <c r="F116" s="46"/>
      <c r="G116" s="12"/>
      <c r="H116" s="41"/>
      <c r="I116" s="41"/>
      <c r="J116" s="13"/>
      <c r="L116" s="2"/>
    </row>
    <row r="117" spans="1:12" ht="18.75" x14ac:dyDescent="0.25">
      <c r="A117" s="47"/>
      <c r="B117" s="48"/>
      <c r="C117" s="22"/>
      <c r="D117" s="30"/>
      <c r="E117" s="46"/>
      <c r="F117" s="46"/>
      <c r="G117" s="12"/>
      <c r="H117" s="41"/>
      <c r="I117" s="44">
        <f>SUM(I100:I116)</f>
        <v>16626.933333333334</v>
      </c>
      <c r="J117" s="13"/>
      <c r="L117" s="2"/>
    </row>
    <row r="118" spans="1:12" ht="18.75" x14ac:dyDescent="0.3">
      <c r="A118" s="66" t="s">
        <v>72</v>
      </c>
      <c r="B118" s="67"/>
      <c r="C118" s="67"/>
      <c r="D118" s="67"/>
      <c r="E118" s="67"/>
      <c r="F118" s="67"/>
      <c r="G118" s="68"/>
      <c r="H118" s="19"/>
      <c r="I118" s="5"/>
      <c r="J118" s="13"/>
      <c r="L118" s="2"/>
    </row>
    <row r="119" spans="1:12" ht="37.5" x14ac:dyDescent="0.25">
      <c r="A119" s="9" t="s">
        <v>97</v>
      </c>
      <c r="B119" s="8"/>
      <c r="C119" s="4"/>
      <c r="D119" s="4" t="s">
        <v>131</v>
      </c>
      <c r="E119" s="31"/>
      <c r="F119" s="13">
        <f>3+3+1+1+2+2+1+1+4+1</f>
        <v>19</v>
      </c>
      <c r="G119" s="13" t="s">
        <v>115</v>
      </c>
      <c r="H119" s="33">
        <f>(1895.8+1895.8+632+645.2+1325.2+1325.2+664.6+685.2+2737+685.2)/F119/3</f>
        <v>219.14385964912285</v>
      </c>
      <c r="I119" s="33">
        <f>F119*H119</f>
        <v>4163.7333333333345</v>
      </c>
      <c r="J119" s="13" t="s">
        <v>116</v>
      </c>
      <c r="L119" s="2"/>
    </row>
    <row r="120" spans="1:12" ht="31.5" x14ac:dyDescent="0.25">
      <c r="A120" s="9"/>
      <c r="B120" s="8"/>
      <c r="C120" s="4"/>
      <c r="D120" s="15" t="s">
        <v>122</v>
      </c>
      <c r="E120" s="41"/>
      <c r="F120" s="41"/>
      <c r="G120" s="13" t="s">
        <v>30</v>
      </c>
      <c r="H120" s="41"/>
      <c r="I120" s="41"/>
      <c r="J120" s="13"/>
      <c r="L120" s="2"/>
    </row>
    <row r="121" spans="1:12" ht="18.75" x14ac:dyDescent="0.25">
      <c r="A121" s="9"/>
      <c r="B121" s="8"/>
      <c r="C121" s="4"/>
      <c r="D121" s="4" t="s">
        <v>114</v>
      </c>
      <c r="E121" s="41"/>
      <c r="F121" s="41">
        <f>3+3+3+5+3+3+3+3+3+10</f>
        <v>39</v>
      </c>
      <c r="G121" s="13" t="s">
        <v>30</v>
      </c>
      <c r="H121" s="44">
        <f>(904.4+904.4+904.4+1538.4+922.8+948.8+948.8+378.4+978.4+3261.6)/F121</f>
        <v>299.75384615384621</v>
      </c>
      <c r="I121" s="41">
        <f>F121*H121</f>
        <v>11690.400000000001</v>
      </c>
      <c r="J121" s="13" t="s">
        <v>116</v>
      </c>
      <c r="L121" s="2"/>
    </row>
    <row r="122" spans="1:12" ht="18.75" x14ac:dyDescent="0.25">
      <c r="A122" s="9"/>
      <c r="B122" s="8"/>
      <c r="C122" s="4"/>
      <c r="D122" s="4" t="s">
        <v>156</v>
      </c>
      <c r="E122" s="41" t="s">
        <v>141</v>
      </c>
      <c r="F122" s="41" t="s">
        <v>141</v>
      </c>
      <c r="G122" s="13" t="s">
        <v>30</v>
      </c>
      <c r="H122" s="41" t="s">
        <v>141</v>
      </c>
      <c r="I122" s="41" t="s">
        <v>141</v>
      </c>
      <c r="J122" s="13"/>
      <c r="L122" s="2"/>
    </row>
    <row r="123" spans="1:12" ht="18.75" x14ac:dyDescent="0.25">
      <c r="A123" s="9"/>
      <c r="B123" s="8"/>
      <c r="C123" s="4"/>
      <c r="D123" s="4" t="s">
        <v>188</v>
      </c>
      <c r="E123" s="41" t="s">
        <v>141</v>
      </c>
      <c r="F123" s="41" t="s">
        <v>141</v>
      </c>
      <c r="G123" s="13" t="s">
        <v>138</v>
      </c>
      <c r="H123" s="41" t="s">
        <v>141</v>
      </c>
      <c r="I123" s="41" t="s">
        <v>141</v>
      </c>
      <c r="J123" s="13"/>
      <c r="L123" s="2"/>
    </row>
    <row r="124" spans="1:12" ht="18.75" x14ac:dyDescent="0.25">
      <c r="A124" s="9"/>
      <c r="B124" s="8"/>
      <c r="C124" s="4"/>
      <c r="D124" s="4" t="s">
        <v>189</v>
      </c>
      <c r="E124" s="41" t="s">
        <v>141</v>
      </c>
      <c r="F124" s="41" t="s">
        <v>141</v>
      </c>
      <c r="G124" s="13" t="s">
        <v>138</v>
      </c>
      <c r="H124" s="41" t="s">
        <v>141</v>
      </c>
      <c r="I124" s="41" t="s">
        <v>141</v>
      </c>
      <c r="J124" s="13"/>
      <c r="L124" s="2"/>
    </row>
    <row r="125" spans="1:12" ht="18.75" x14ac:dyDescent="0.25">
      <c r="A125" s="9" t="s">
        <v>22</v>
      </c>
      <c r="B125" s="8"/>
      <c r="C125" s="4"/>
      <c r="D125" s="4" t="s">
        <v>75</v>
      </c>
      <c r="E125" s="41" t="s">
        <v>141</v>
      </c>
      <c r="F125" s="41" t="s">
        <v>141</v>
      </c>
      <c r="G125" s="13" t="s">
        <v>30</v>
      </c>
      <c r="H125" s="41" t="s">
        <v>141</v>
      </c>
      <c r="I125" s="41" t="s">
        <v>141</v>
      </c>
      <c r="J125" s="13"/>
      <c r="L125" s="2"/>
    </row>
    <row r="126" spans="1:12" ht="18.75" x14ac:dyDescent="0.25">
      <c r="A126" s="47"/>
      <c r="B126" s="48"/>
      <c r="C126" s="22"/>
      <c r="D126" s="22"/>
      <c r="E126" s="46"/>
      <c r="F126" s="46"/>
      <c r="G126" s="31"/>
      <c r="H126" s="41"/>
      <c r="I126" s="44">
        <f>SUM(I119:I125)</f>
        <v>15854.133333333335</v>
      </c>
      <c r="J126" s="13"/>
      <c r="L126" s="2"/>
    </row>
    <row r="127" spans="1:12" ht="18.75" x14ac:dyDescent="0.3">
      <c r="A127" s="66" t="s">
        <v>77</v>
      </c>
      <c r="B127" s="67"/>
      <c r="C127" s="67"/>
      <c r="D127" s="67"/>
      <c r="E127" s="67"/>
      <c r="F127" s="67"/>
      <c r="G127" s="68"/>
      <c r="H127" s="5"/>
      <c r="I127" s="5"/>
      <c r="J127" s="13"/>
      <c r="L127" s="2"/>
    </row>
    <row r="128" spans="1:12" ht="38.25" customHeight="1" x14ac:dyDescent="0.25">
      <c r="A128" s="9" t="s">
        <v>23</v>
      </c>
      <c r="B128" s="5"/>
      <c r="C128" s="4"/>
      <c r="D128" s="15" t="s">
        <v>142</v>
      </c>
      <c r="E128" s="41" t="s">
        <v>141</v>
      </c>
      <c r="F128" s="41">
        <f>1</f>
        <v>1</v>
      </c>
      <c r="G128" s="13" t="s">
        <v>53</v>
      </c>
      <c r="H128" s="41">
        <f>5759.6/F128</f>
        <v>5759.6</v>
      </c>
      <c r="I128" s="62">
        <f>F128*H128</f>
        <v>5759.6</v>
      </c>
      <c r="J128" s="13" t="s">
        <v>118</v>
      </c>
      <c r="L128" s="2"/>
    </row>
    <row r="129" spans="1:12" ht="38.25" customHeight="1" x14ac:dyDescent="0.25">
      <c r="A129" s="9"/>
      <c r="B129" s="5"/>
      <c r="C129" s="4"/>
      <c r="D129" s="15" t="s">
        <v>167</v>
      </c>
      <c r="E129" s="41" t="s">
        <v>141</v>
      </c>
      <c r="F129" s="41" t="s">
        <v>141</v>
      </c>
      <c r="G129" s="13" t="s">
        <v>31</v>
      </c>
      <c r="H129" s="41" t="s">
        <v>141</v>
      </c>
      <c r="I129" s="41" t="s">
        <v>141</v>
      </c>
      <c r="J129" s="13"/>
      <c r="L129" s="2"/>
    </row>
    <row r="130" spans="1:12" ht="38.25" customHeight="1" x14ac:dyDescent="0.25">
      <c r="A130" s="9"/>
      <c r="B130" s="5"/>
      <c r="C130" s="4"/>
      <c r="D130" s="15" t="s">
        <v>228</v>
      </c>
      <c r="E130" s="41"/>
      <c r="F130" s="41">
        <v>1</v>
      </c>
      <c r="G130" s="13" t="s">
        <v>145</v>
      </c>
      <c r="H130" s="41">
        <v>30000</v>
      </c>
      <c r="I130" s="76">
        <f>F130*H130</f>
        <v>30000</v>
      </c>
      <c r="J130" s="13" t="s">
        <v>123</v>
      </c>
      <c r="L130" s="2"/>
    </row>
    <row r="131" spans="1:12" ht="18.75" x14ac:dyDescent="0.25">
      <c r="A131" s="9" t="s">
        <v>24</v>
      </c>
      <c r="B131" s="5"/>
      <c r="C131" s="4"/>
      <c r="D131" s="4" t="s">
        <v>76</v>
      </c>
      <c r="E131" s="41" t="s">
        <v>141</v>
      </c>
      <c r="F131" s="41" t="s">
        <v>141</v>
      </c>
      <c r="G131" s="13" t="s">
        <v>53</v>
      </c>
      <c r="H131" s="41" t="s">
        <v>141</v>
      </c>
      <c r="I131" s="41" t="s">
        <v>141</v>
      </c>
      <c r="J131" s="13"/>
      <c r="L131" s="2"/>
    </row>
    <row r="132" spans="1:12" ht="31.5" x14ac:dyDescent="0.25">
      <c r="A132" s="9" t="s">
        <v>127</v>
      </c>
      <c r="B132" s="5"/>
      <c r="C132" s="4"/>
      <c r="D132" s="15" t="s">
        <v>222</v>
      </c>
      <c r="E132" s="41"/>
      <c r="F132" s="41">
        <f>16+17</f>
        <v>33</v>
      </c>
      <c r="G132" s="13" t="s">
        <v>53</v>
      </c>
      <c r="H132" s="44">
        <f>(19038.4+20685.8)/F132</f>
        <v>1203.7636363636364</v>
      </c>
      <c r="I132" s="76">
        <f>F132*H132</f>
        <v>39724.199999999997</v>
      </c>
      <c r="J132" s="13" t="s">
        <v>123</v>
      </c>
      <c r="L132" s="2"/>
    </row>
    <row r="133" spans="1:12" ht="31.5" x14ac:dyDescent="0.25">
      <c r="A133" s="9"/>
      <c r="B133" s="5"/>
      <c r="C133" s="4"/>
      <c r="D133" s="15" t="s">
        <v>233</v>
      </c>
      <c r="E133" s="41"/>
      <c r="F133" s="41">
        <f>1</f>
        <v>1</v>
      </c>
      <c r="G133" s="13" t="s">
        <v>53</v>
      </c>
      <c r="H133" s="44">
        <f>5115/F133</f>
        <v>5115</v>
      </c>
      <c r="I133" s="62">
        <f>F133*H133</f>
        <v>5115</v>
      </c>
      <c r="J133" s="13" t="s">
        <v>118</v>
      </c>
      <c r="L133" s="2"/>
    </row>
    <row r="134" spans="1:12" ht="18.75" x14ac:dyDescent="0.25">
      <c r="A134" s="9"/>
      <c r="B134" s="5"/>
      <c r="C134" s="4"/>
      <c r="D134" s="15" t="s">
        <v>168</v>
      </c>
      <c r="E134" s="41" t="s">
        <v>141</v>
      </c>
      <c r="F134" s="41" t="s">
        <v>141</v>
      </c>
      <c r="G134" s="13" t="s">
        <v>151</v>
      </c>
      <c r="H134" s="41" t="s">
        <v>141</v>
      </c>
      <c r="I134" s="41" t="s">
        <v>141</v>
      </c>
      <c r="J134" s="13"/>
      <c r="L134" s="2"/>
    </row>
    <row r="135" spans="1:12" ht="31.5" x14ac:dyDescent="0.25">
      <c r="A135" s="9"/>
      <c r="B135" s="5"/>
      <c r="C135" s="4"/>
      <c r="D135" s="15" t="s">
        <v>128</v>
      </c>
      <c r="E135" s="41" t="s">
        <v>141</v>
      </c>
      <c r="F135" s="41">
        <f>1+2</f>
        <v>3</v>
      </c>
      <c r="G135" s="13" t="s">
        <v>31</v>
      </c>
      <c r="H135" s="44">
        <f>(1655.6+3353.6)/F135</f>
        <v>1669.7333333333333</v>
      </c>
      <c r="I135" s="76">
        <f>F135*H135</f>
        <v>5009.2</v>
      </c>
      <c r="J135" s="13" t="s">
        <v>223</v>
      </c>
      <c r="L135" s="2"/>
    </row>
    <row r="136" spans="1:12" ht="18.75" x14ac:dyDescent="0.25">
      <c r="A136" s="9"/>
      <c r="B136" s="5"/>
      <c r="C136" s="4"/>
      <c r="D136" s="15" t="s">
        <v>183</v>
      </c>
      <c r="E136" s="41" t="s">
        <v>141</v>
      </c>
      <c r="F136" s="41">
        <f>1+3</f>
        <v>4</v>
      </c>
      <c r="G136" s="13" t="s">
        <v>53</v>
      </c>
      <c r="H136" s="41">
        <f>(72.8+217.4)/F136</f>
        <v>72.55</v>
      </c>
      <c r="I136" s="41">
        <f>F136*H136</f>
        <v>290.2</v>
      </c>
      <c r="J136" s="13" t="s">
        <v>116</v>
      </c>
      <c r="L136" s="2"/>
    </row>
    <row r="137" spans="1:12" ht="18.75" x14ac:dyDescent="0.25">
      <c r="A137" s="9"/>
      <c r="B137" s="5"/>
      <c r="C137" s="4"/>
      <c r="D137" s="15" t="s">
        <v>106</v>
      </c>
      <c r="E137" s="32"/>
      <c r="F137" s="13">
        <f>2+3+2+2+2+2+2+6+1+4+3+3</f>
        <v>32</v>
      </c>
      <c r="G137" s="13" t="s">
        <v>53</v>
      </c>
      <c r="H137" s="33">
        <f>(399.4+603+399.4+402.6+402.6+402.6+404.4+1220+204.4+821.4+618.2+618.2)/F137</f>
        <v>203.00624999999997</v>
      </c>
      <c r="I137" s="13">
        <f t="shared" ref="I137" si="4">F137*H137</f>
        <v>6496.1999999999989</v>
      </c>
      <c r="J137" s="13" t="s">
        <v>116</v>
      </c>
      <c r="L137" s="2"/>
    </row>
    <row r="138" spans="1:12" ht="18.75" x14ac:dyDescent="0.25">
      <c r="A138" s="9"/>
      <c r="B138" s="5"/>
      <c r="C138" s="4"/>
      <c r="D138" s="15" t="s">
        <v>226</v>
      </c>
      <c r="E138" s="41" t="s">
        <v>141</v>
      </c>
      <c r="F138" s="41">
        <f>1+1</f>
        <v>2</v>
      </c>
      <c r="G138" s="13" t="s">
        <v>31</v>
      </c>
      <c r="H138" s="41">
        <f>(306.4+306.4)/F138</f>
        <v>306.39999999999998</v>
      </c>
      <c r="I138" s="41">
        <f>F138*H138</f>
        <v>612.79999999999995</v>
      </c>
      <c r="J138" s="13" t="s">
        <v>123</v>
      </c>
      <c r="L138" s="2"/>
    </row>
    <row r="139" spans="1:12" ht="56.25" x14ac:dyDescent="0.25">
      <c r="A139" s="9" t="s">
        <v>107</v>
      </c>
      <c r="B139" s="5"/>
      <c r="C139" s="4"/>
      <c r="D139" s="15" t="s">
        <v>125</v>
      </c>
      <c r="E139" s="32"/>
      <c r="F139" s="13">
        <f>9+9+9+9+9+9+9+9+9+9+9+9</f>
        <v>108</v>
      </c>
      <c r="G139" s="13" t="s">
        <v>108</v>
      </c>
      <c r="H139" s="33">
        <f>(354+354+354+364.2+364.2+364.2+372.2+372.2+372.2+382.4+382.4+382.4)/F139</f>
        <v>40.911111111111104</v>
      </c>
      <c r="I139" s="13">
        <f>F139*H139</f>
        <v>4418.3999999999996</v>
      </c>
      <c r="J139" s="13" t="s">
        <v>116</v>
      </c>
      <c r="L139" s="2"/>
    </row>
    <row r="140" spans="1:12" ht="18.75" x14ac:dyDescent="0.25">
      <c r="A140" s="47"/>
      <c r="B140" s="22"/>
      <c r="C140" s="22"/>
      <c r="D140" s="30"/>
      <c r="E140" s="49"/>
      <c r="F140" s="50"/>
      <c r="G140" s="31"/>
      <c r="H140" s="31"/>
      <c r="I140" s="13">
        <f>SUM(I128:I139)</f>
        <v>97425.599999999977</v>
      </c>
      <c r="J140" s="13"/>
      <c r="L140" s="2"/>
    </row>
    <row r="141" spans="1:12" ht="18.75" x14ac:dyDescent="0.25">
      <c r="A141" s="73" t="s">
        <v>90</v>
      </c>
      <c r="B141" s="74"/>
      <c r="C141" s="74"/>
      <c r="D141" s="74"/>
      <c r="E141" s="74"/>
      <c r="F141" s="74"/>
      <c r="G141" s="75"/>
      <c r="H141" s="12"/>
      <c r="I141" s="5"/>
      <c r="J141" s="13"/>
      <c r="L141" s="2"/>
    </row>
    <row r="142" spans="1:12" ht="18.75" x14ac:dyDescent="0.25">
      <c r="A142" s="26"/>
      <c r="B142" s="27"/>
      <c r="C142" s="27"/>
      <c r="D142" s="36" t="s">
        <v>117</v>
      </c>
      <c r="E142" s="41"/>
      <c r="F142" s="41">
        <f>1</f>
        <v>1</v>
      </c>
      <c r="G142" s="38" t="s">
        <v>31</v>
      </c>
      <c r="H142" s="41">
        <f>1291.4/F142</f>
        <v>1291.4000000000001</v>
      </c>
      <c r="I142" s="41">
        <f>F142*H142</f>
        <v>1291.4000000000001</v>
      </c>
      <c r="J142" s="13"/>
      <c r="L142" s="2"/>
    </row>
    <row r="143" spans="1:12" ht="63" x14ac:dyDescent="0.25">
      <c r="A143" s="9" t="s">
        <v>88</v>
      </c>
      <c r="B143" s="22"/>
      <c r="C143" s="22"/>
      <c r="D143" s="23" t="s">
        <v>119</v>
      </c>
      <c r="E143" s="37">
        <v>458</v>
      </c>
      <c r="F143" s="13">
        <v>458</v>
      </c>
      <c r="G143" s="31" t="s">
        <v>89</v>
      </c>
      <c r="H143" s="31">
        <v>4.8</v>
      </c>
      <c r="I143" s="13">
        <f>F143*H143*12</f>
        <v>26380.800000000003</v>
      </c>
      <c r="J143" s="13" t="s">
        <v>116</v>
      </c>
      <c r="L143" s="2"/>
    </row>
    <row r="144" spans="1:12" ht="18.75" x14ac:dyDescent="0.25">
      <c r="A144" s="47"/>
      <c r="B144" s="22"/>
      <c r="C144" s="22"/>
      <c r="D144" s="30"/>
      <c r="E144" s="49"/>
      <c r="F144" s="50"/>
      <c r="G144" s="31"/>
      <c r="H144" s="31"/>
      <c r="I144" s="13">
        <f>SUM(I142:I143)</f>
        <v>27672.200000000004</v>
      </c>
      <c r="J144" s="13"/>
      <c r="L144" s="2"/>
    </row>
    <row r="145" spans="1:12" ht="18.75" x14ac:dyDescent="0.3">
      <c r="A145" s="66" t="s">
        <v>78</v>
      </c>
      <c r="B145" s="67"/>
      <c r="C145" s="67"/>
      <c r="D145" s="67"/>
      <c r="E145" s="67"/>
      <c r="F145" s="67"/>
      <c r="G145" s="68"/>
      <c r="H145" s="19"/>
      <c r="I145" s="5"/>
      <c r="J145" s="13"/>
      <c r="L145" s="2"/>
    </row>
    <row r="146" spans="1:12" ht="46.5" customHeight="1" x14ac:dyDescent="0.3">
      <c r="A146" s="34" t="s">
        <v>133</v>
      </c>
      <c r="B146" s="24"/>
      <c r="C146" s="24"/>
      <c r="D146" s="35" t="s">
        <v>132</v>
      </c>
      <c r="E146" s="13">
        <v>72</v>
      </c>
      <c r="F146" s="13">
        <v>72</v>
      </c>
      <c r="G146" s="13" t="s">
        <v>140</v>
      </c>
      <c r="H146" s="13">
        <v>13</v>
      </c>
      <c r="I146" s="13">
        <f>F146*H146*3</f>
        <v>2808</v>
      </c>
      <c r="J146" s="13" t="s">
        <v>153</v>
      </c>
      <c r="L146" s="2"/>
    </row>
    <row r="147" spans="1:12" ht="18.75" x14ac:dyDescent="0.25">
      <c r="A147" s="9" t="s">
        <v>25</v>
      </c>
      <c r="B147" s="5"/>
      <c r="C147" s="4"/>
      <c r="D147" s="4" t="s">
        <v>74</v>
      </c>
      <c r="E147" s="41" t="s">
        <v>141</v>
      </c>
      <c r="F147" s="41" t="s">
        <v>141</v>
      </c>
      <c r="G147" s="14" t="s">
        <v>53</v>
      </c>
      <c r="H147" s="41" t="s">
        <v>141</v>
      </c>
      <c r="I147" s="41" t="s">
        <v>141</v>
      </c>
      <c r="J147" s="13"/>
      <c r="L147" s="2"/>
    </row>
    <row r="148" spans="1:12" ht="47.25" x14ac:dyDescent="0.25">
      <c r="A148" s="9" t="s">
        <v>26</v>
      </c>
      <c r="B148" s="5"/>
      <c r="C148" s="4"/>
      <c r="D148" s="15" t="s">
        <v>28</v>
      </c>
      <c r="E148" s="41" t="s">
        <v>141</v>
      </c>
      <c r="F148" s="41" t="s">
        <v>141</v>
      </c>
      <c r="G148" s="14" t="s">
        <v>53</v>
      </c>
      <c r="H148" s="41" t="s">
        <v>141</v>
      </c>
      <c r="I148" s="41" t="s">
        <v>141</v>
      </c>
      <c r="J148" s="13"/>
      <c r="L148" s="2"/>
    </row>
    <row r="149" spans="1:12" ht="18.75" x14ac:dyDescent="0.25">
      <c r="A149" s="9"/>
      <c r="B149" s="5"/>
      <c r="C149" s="4"/>
      <c r="D149" s="15" t="s">
        <v>208</v>
      </c>
      <c r="E149" s="41"/>
      <c r="F149" s="41">
        <f>1+1+1+1+1+1+1+1+1+1+1+1</f>
        <v>12</v>
      </c>
      <c r="G149" s="14" t="s">
        <v>31</v>
      </c>
      <c r="H149" s="41">
        <f>(2800+2800+2800+2800+2800+2800+2800+2800+2800+2800+2800+2800)/F149</f>
        <v>2800</v>
      </c>
      <c r="I149" s="76">
        <f>F149*H149</f>
        <v>33600</v>
      </c>
      <c r="J149" s="13" t="s">
        <v>116</v>
      </c>
      <c r="L149" s="2"/>
    </row>
    <row r="150" spans="1:12" ht="31.5" x14ac:dyDescent="0.25">
      <c r="A150" s="9" t="s">
        <v>27</v>
      </c>
      <c r="B150" s="5"/>
      <c r="C150" s="4"/>
      <c r="D150" s="15" t="s">
        <v>73</v>
      </c>
      <c r="E150" s="41" t="s">
        <v>141</v>
      </c>
      <c r="F150" s="41" t="s">
        <v>141</v>
      </c>
      <c r="G150" s="14" t="s">
        <v>53</v>
      </c>
      <c r="H150" s="41" t="s">
        <v>141</v>
      </c>
      <c r="I150" s="41" t="s">
        <v>141</v>
      </c>
      <c r="J150" s="13"/>
      <c r="L150" s="2"/>
    </row>
    <row r="151" spans="1:12" ht="18.75" x14ac:dyDescent="0.25">
      <c r="A151" s="47"/>
      <c r="B151" s="22"/>
      <c r="C151" s="22"/>
      <c r="D151" s="30"/>
      <c r="E151" s="46"/>
      <c r="F151" s="46"/>
      <c r="G151" s="12"/>
      <c r="H151" s="51"/>
      <c r="I151" s="53">
        <f>SUM(I146:I150)</f>
        <v>36408</v>
      </c>
      <c r="J151" s="52"/>
      <c r="L151" s="2"/>
    </row>
    <row r="152" spans="1:12" ht="18.75" x14ac:dyDescent="0.3">
      <c r="A152" s="66" t="s">
        <v>83</v>
      </c>
      <c r="B152" s="67"/>
      <c r="C152" s="67"/>
      <c r="D152" s="67"/>
      <c r="E152" s="67"/>
      <c r="F152" s="67"/>
      <c r="G152" s="68"/>
      <c r="H152" s="2"/>
      <c r="I152" s="2"/>
      <c r="J152" s="2"/>
      <c r="K152" s="2"/>
      <c r="L152" s="2"/>
    </row>
    <row r="153" spans="1:12" ht="48" x14ac:dyDescent="0.3">
      <c r="A153" s="6" t="s">
        <v>65</v>
      </c>
      <c r="B153" s="6"/>
      <c r="C153" s="4"/>
      <c r="D153" s="15" t="s">
        <v>84</v>
      </c>
      <c r="E153" s="41"/>
      <c r="F153" s="41"/>
      <c r="G153" s="13" t="s">
        <v>113</v>
      </c>
      <c r="H153" s="41">
        <v>535.4</v>
      </c>
      <c r="I153" s="41">
        <f>F153*H153</f>
        <v>0</v>
      </c>
      <c r="J153" s="39" t="s">
        <v>118</v>
      </c>
      <c r="L153" s="2"/>
    </row>
    <row r="154" spans="1:12" ht="32.25" x14ac:dyDescent="0.3">
      <c r="A154" s="28"/>
      <c r="B154" s="29"/>
      <c r="C154" s="22"/>
      <c r="D154" s="30" t="s">
        <v>109</v>
      </c>
      <c r="E154" s="41">
        <v>1</v>
      </c>
      <c r="F154" s="41">
        <v>1</v>
      </c>
      <c r="G154" s="13" t="s">
        <v>110</v>
      </c>
      <c r="H154" s="41">
        <v>12656</v>
      </c>
      <c r="I154" s="43">
        <f>F154*H154</f>
        <v>12656</v>
      </c>
      <c r="J154" s="39" t="s">
        <v>118</v>
      </c>
      <c r="L154" s="2"/>
    </row>
    <row r="155" spans="1:12" ht="18.75" x14ac:dyDescent="0.3">
      <c r="A155" s="28"/>
      <c r="B155" s="29"/>
      <c r="C155" s="22"/>
      <c r="D155" s="30"/>
      <c r="E155" s="46"/>
      <c r="F155" s="46"/>
      <c r="G155" s="31"/>
      <c r="H155" s="46"/>
      <c r="I155" s="55">
        <f>SUM(I153:I154)</f>
        <v>12656</v>
      </c>
      <c r="J155" s="54"/>
      <c r="L155" s="2"/>
    </row>
    <row r="156" spans="1:12" ht="18.75" x14ac:dyDescent="0.3">
      <c r="A156" s="66" t="s">
        <v>98</v>
      </c>
      <c r="B156" s="67"/>
      <c r="C156" s="67"/>
      <c r="D156" s="67"/>
      <c r="E156" s="67"/>
      <c r="F156" s="67"/>
      <c r="G156" s="68"/>
      <c r="H156" s="66"/>
      <c r="I156" s="67"/>
      <c r="J156" s="67"/>
      <c r="L156" s="2"/>
    </row>
    <row r="157" spans="1:12" ht="32.25" x14ac:dyDescent="0.3">
      <c r="A157" s="34" t="s">
        <v>152</v>
      </c>
      <c r="B157" s="24"/>
      <c r="C157" s="24"/>
      <c r="D157" s="40" t="s">
        <v>135</v>
      </c>
      <c r="E157" s="41" t="s">
        <v>141</v>
      </c>
      <c r="F157" s="41">
        <f>2+2</f>
        <v>4</v>
      </c>
      <c r="G157" s="13" t="s">
        <v>136</v>
      </c>
      <c r="H157" s="41">
        <v>800</v>
      </c>
      <c r="I157" s="76">
        <f>F157*H157</f>
        <v>3200</v>
      </c>
      <c r="J157" s="13" t="s">
        <v>124</v>
      </c>
      <c r="L157" s="2"/>
    </row>
    <row r="158" spans="1:12" ht="48" x14ac:dyDescent="0.3">
      <c r="A158" s="24"/>
      <c r="B158" s="24"/>
      <c r="C158" s="24"/>
      <c r="D158" s="40" t="s">
        <v>137</v>
      </c>
      <c r="E158" s="41"/>
      <c r="F158" s="41">
        <f>60</f>
        <v>60</v>
      </c>
      <c r="G158" s="13" t="s">
        <v>138</v>
      </c>
      <c r="H158" s="41">
        <f>39000/F158</f>
        <v>650</v>
      </c>
      <c r="I158" s="76">
        <f>F158*H158</f>
        <v>39000</v>
      </c>
      <c r="J158" s="13" t="s">
        <v>124</v>
      </c>
      <c r="L158" s="2"/>
    </row>
    <row r="159" spans="1:12" ht="32.25" x14ac:dyDescent="0.3">
      <c r="A159" s="24"/>
      <c r="B159" s="24"/>
      <c r="C159" s="24"/>
      <c r="D159" s="40" t="s">
        <v>220</v>
      </c>
      <c r="E159" s="13"/>
      <c r="F159" s="13">
        <f>40+105+155+130+85</f>
        <v>515</v>
      </c>
      <c r="G159" s="13" t="s">
        <v>139</v>
      </c>
      <c r="H159" s="33">
        <f>(2000+5250+7750+4469+3896)/F159</f>
        <v>45.368932038834949</v>
      </c>
      <c r="I159" s="77">
        <f t="shared" ref="I159" si="5">F159*H159</f>
        <v>23365</v>
      </c>
      <c r="J159" s="13" t="s">
        <v>124</v>
      </c>
      <c r="L159" s="2"/>
    </row>
    <row r="160" spans="1:12" ht="32.25" x14ac:dyDescent="0.3">
      <c r="A160" s="24"/>
      <c r="B160" s="24"/>
      <c r="C160" s="24"/>
      <c r="D160" s="40" t="s">
        <v>221</v>
      </c>
      <c r="E160" s="13"/>
      <c r="F160" s="13">
        <f>25+15+60</f>
        <v>100</v>
      </c>
      <c r="G160" s="13" t="s">
        <v>139</v>
      </c>
      <c r="H160" s="13">
        <f>(1042+625+2750)/F160</f>
        <v>44.17</v>
      </c>
      <c r="I160" s="77">
        <f t="shared" ref="I160" si="6">F160*H160</f>
        <v>4417</v>
      </c>
      <c r="J160" s="13" t="s">
        <v>124</v>
      </c>
      <c r="L160" s="2"/>
    </row>
    <row r="161" spans="1:14" ht="18.75" x14ac:dyDescent="0.3">
      <c r="A161" s="24"/>
      <c r="B161" s="24"/>
      <c r="C161" s="24"/>
      <c r="D161" s="40" t="s">
        <v>216</v>
      </c>
      <c r="E161" s="13"/>
      <c r="F161" s="13"/>
      <c r="G161" s="13" t="s">
        <v>31</v>
      </c>
      <c r="H161" s="13"/>
      <c r="I161" s="13"/>
      <c r="J161" s="13"/>
      <c r="L161" s="2"/>
    </row>
    <row r="162" spans="1:14" ht="18.75" x14ac:dyDescent="0.3">
      <c r="A162" s="24"/>
      <c r="B162" s="24"/>
      <c r="C162" s="24"/>
      <c r="D162" s="40" t="s">
        <v>227</v>
      </c>
      <c r="E162" s="13"/>
      <c r="F162" s="13">
        <v>2</v>
      </c>
      <c r="G162" s="38" t="s">
        <v>113</v>
      </c>
      <c r="H162" s="13">
        <f>19423.2/F162</f>
        <v>9711.6</v>
      </c>
      <c r="I162" s="77">
        <f t="shared" ref="I162:I166" si="7">F162*H162</f>
        <v>19423.2</v>
      </c>
      <c r="J162" s="13" t="s">
        <v>123</v>
      </c>
      <c r="L162" s="2"/>
    </row>
    <row r="163" spans="1:14" ht="48" x14ac:dyDescent="0.3">
      <c r="A163" s="24"/>
      <c r="B163" s="24"/>
      <c r="C163" s="24"/>
      <c r="D163" s="40" t="s">
        <v>217</v>
      </c>
      <c r="E163" s="31"/>
      <c r="F163" s="31">
        <v>47.5</v>
      </c>
      <c r="G163" s="38" t="s">
        <v>113</v>
      </c>
      <c r="H163" s="45">
        <f>27349.8/F163</f>
        <v>575.78526315789475</v>
      </c>
      <c r="I163" s="78">
        <f t="shared" si="7"/>
        <v>27349.8</v>
      </c>
      <c r="J163" s="13" t="s">
        <v>123</v>
      </c>
      <c r="L163" s="2"/>
    </row>
    <row r="164" spans="1:14" ht="18.75" x14ac:dyDescent="0.3">
      <c r="A164" s="24"/>
      <c r="B164" s="24"/>
      <c r="C164" s="24"/>
      <c r="D164" s="40" t="s">
        <v>229</v>
      </c>
      <c r="E164" s="31"/>
      <c r="F164" s="31">
        <f>7</f>
        <v>7</v>
      </c>
      <c r="G164" s="38" t="s">
        <v>31</v>
      </c>
      <c r="H164" s="45">
        <f>14417.4/F164</f>
        <v>2059.6285714285714</v>
      </c>
      <c r="I164" s="78">
        <f t="shared" si="7"/>
        <v>14417.4</v>
      </c>
      <c r="J164" s="13" t="s">
        <v>123</v>
      </c>
      <c r="L164" s="2"/>
    </row>
    <row r="165" spans="1:14" ht="18.75" x14ac:dyDescent="0.3">
      <c r="A165" s="24"/>
      <c r="B165" s="24"/>
      <c r="C165" s="24"/>
      <c r="D165" s="40" t="s">
        <v>230</v>
      </c>
      <c r="E165" s="31"/>
      <c r="F165" s="31">
        <v>2.52</v>
      </c>
      <c r="G165" s="38" t="s">
        <v>113</v>
      </c>
      <c r="H165" s="45">
        <f>1755.2/F165</f>
        <v>696.50793650793651</v>
      </c>
      <c r="I165" s="78">
        <f t="shared" si="7"/>
        <v>1755.2</v>
      </c>
      <c r="J165" s="13" t="s">
        <v>123</v>
      </c>
      <c r="L165" s="2"/>
    </row>
    <row r="166" spans="1:14" ht="18.75" x14ac:dyDescent="0.3">
      <c r="A166" s="24"/>
      <c r="B166" s="24"/>
      <c r="C166" s="24"/>
      <c r="D166" s="40" t="s">
        <v>231</v>
      </c>
      <c r="E166" s="31"/>
      <c r="F166" s="31">
        <v>1</v>
      </c>
      <c r="G166" s="38" t="s">
        <v>31</v>
      </c>
      <c r="H166" s="45">
        <f>6200</f>
        <v>6200</v>
      </c>
      <c r="I166" s="78">
        <f t="shared" si="7"/>
        <v>6200</v>
      </c>
      <c r="J166" s="13" t="s">
        <v>118</v>
      </c>
      <c r="L166" s="2"/>
    </row>
    <row r="167" spans="1:14" ht="32.25" x14ac:dyDescent="0.3">
      <c r="A167" s="34" t="s">
        <v>162</v>
      </c>
      <c r="B167" s="14"/>
      <c r="C167" s="14"/>
      <c r="D167" s="40" t="s">
        <v>200</v>
      </c>
      <c r="E167" s="41" t="s">
        <v>141</v>
      </c>
      <c r="F167" s="41" t="s">
        <v>141</v>
      </c>
      <c r="G167" s="13" t="s">
        <v>31</v>
      </c>
      <c r="H167" s="41" t="s">
        <v>141</v>
      </c>
      <c r="I167" s="41" t="s">
        <v>141</v>
      </c>
      <c r="J167" s="14"/>
      <c r="L167" s="2"/>
    </row>
    <row r="168" spans="1:14" ht="18.75" x14ac:dyDescent="0.3">
      <c r="A168" s="34"/>
      <c r="B168" s="14"/>
      <c r="C168" s="14"/>
      <c r="D168" s="40"/>
      <c r="E168" s="41"/>
      <c r="F168" s="41"/>
      <c r="G168" s="13"/>
      <c r="H168" s="41"/>
      <c r="I168" s="41">
        <f>SUM(I157:I167)</f>
        <v>139127.6</v>
      </c>
      <c r="J168" s="14"/>
      <c r="L168" s="2"/>
    </row>
    <row r="169" spans="1:14" ht="15.75" x14ac:dyDescent="0.25">
      <c r="A169" s="83" t="s">
        <v>235</v>
      </c>
      <c r="B169" s="14"/>
      <c r="C169" s="14"/>
      <c r="D169" s="42"/>
      <c r="E169" s="14"/>
      <c r="F169" s="14"/>
      <c r="G169" s="38"/>
      <c r="H169" s="14"/>
      <c r="I169" s="80">
        <f>I31+I33+I76+I77+I88+I115+I130+I132+I135+I149+I157+I158+I159+I160+I162+I163+I164+I165+I166</f>
        <v>294795.40000000002</v>
      </c>
      <c r="J169" s="14"/>
      <c r="L169" s="2"/>
      <c r="N169" s="79"/>
    </row>
    <row r="170" spans="1:14" ht="15.75" x14ac:dyDescent="0.25">
      <c r="A170" s="82" t="s">
        <v>218</v>
      </c>
      <c r="B170" s="25"/>
      <c r="C170" s="25"/>
      <c r="D170" s="42"/>
      <c r="E170" s="13"/>
      <c r="F170" s="13"/>
      <c r="G170" s="38"/>
      <c r="H170" s="13"/>
      <c r="I170" s="81">
        <f>I19+I40+I55+I84+I98+I117+I126+I140+I144+I151+I155+I169</f>
        <v>778296.60000000009</v>
      </c>
      <c r="J170" s="14"/>
      <c r="K170" s="2"/>
      <c r="L170" s="2"/>
    </row>
    <row r="171" spans="1:14" ht="99.75" customHeight="1" x14ac:dyDescent="0.25">
      <c r="A171" s="63" t="s">
        <v>105</v>
      </c>
      <c r="B171" s="63"/>
      <c r="C171" s="63"/>
      <c r="D171" s="63"/>
      <c r="E171" s="63"/>
      <c r="F171" s="63"/>
      <c r="G171" s="63"/>
      <c r="H171" s="63"/>
      <c r="I171" s="63"/>
      <c r="J171" s="63"/>
      <c r="K171" s="2"/>
      <c r="L171" s="2"/>
    </row>
    <row r="172" spans="1:14" ht="15.75" x14ac:dyDescent="0.25">
      <c r="A172" s="2"/>
      <c r="B172" s="2"/>
      <c r="C172" s="2"/>
      <c r="D172" s="16"/>
      <c r="E172" s="16"/>
      <c r="F172" s="2"/>
      <c r="G172" s="2"/>
      <c r="H172" s="2"/>
      <c r="I172" s="56"/>
      <c r="J172" s="2"/>
      <c r="K172" s="2"/>
      <c r="L172" s="2"/>
    </row>
    <row r="173" spans="1:14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4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4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56"/>
      <c r="K175" s="2"/>
      <c r="L175" s="2"/>
    </row>
    <row r="176" spans="1:14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16"/>
      <c r="E196" s="16"/>
      <c r="F196" s="2"/>
      <c r="G196" s="2"/>
      <c r="H196" s="2"/>
      <c r="I196" s="2"/>
      <c r="J196" s="2"/>
      <c r="K196" s="2"/>
      <c r="L196" s="2"/>
    </row>
    <row r="197" spans="1:12" ht="15.75" x14ac:dyDescent="0.25">
      <c r="A197" s="2"/>
      <c r="B197" s="2"/>
      <c r="C197" s="2"/>
      <c r="D197" s="16"/>
      <c r="E197" s="16"/>
      <c r="F197" s="2"/>
      <c r="G197" s="2"/>
      <c r="H197" s="2"/>
      <c r="I197" s="2"/>
      <c r="J197" s="2"/>
      <c r="K197" s="2"/>
      <c r="L197" s="2"/>
    </row>
  </sheetData>
  <mergeCells count="16">
    <mergeCell ref="A171:J171"/>
    <mergeCell ref="A2:J2"/>
    <mergeCell ref="A156:G156"/>
    <mergeCell ref="H156:J156"/>
    <mergeCell ref="I1:J1"/>
    <mergeCell ref="A99:G99"/>
    <mergeCell ref="A127:G127"/>
    <mergeCell ref="A152:G152"/>
    <mergeCell ref="A41:G41"/>
    <mergeCell ref="A20:G20"/>
    <mergeCell ref="A4:G4"/>
    <mergeCell ref="A141:G141"/>
    <mergeCell ref="A56:G56"/>
    <mergeCell ref="A85:G85"/>
    <mergeCell ref="A118:G118"/>
    <mergeCell ref="A145:G145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2024-03-06T06:38:47Z</dcterms:modified>
</cp:coreProperties>
</file>