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40" i="1" l="1"/>
  <c r="D40" i="1"/>
  <c r="E41" i="1"/>
  <c r="D41" i="1"/>
  <c r="E12" i="1"/>
  <c r="E10" i="1"/>
  <c r="D10" i="1"/>
  <c r="E18" i="1"/>
  <c r="D18" i="1"/>
  <c r="E16" i="1"/>
  <c r="D55" i="1"/>
  <c r="D53" i="1"/>
  <c r="D52" i="1"/>
  <c r="E39" i="1" l="1"/>
  <c r="D39" i="1"/>
  <c r="E25" i="1"/>
  <c r="D25" i="1"/>
  <c r="E29" i="1"/>
  <c r="D29" i="1"/>
  <c r="E28" i="1"/>
  <c r="D28" i="1"/>
  <c r="E27" i="1"/>
  <c r="D27" i="1"/>
  <c r="E11" i="1"/>
  <c r="D11" i="1"/>
  <c r="E17" i="1"/>
  <c r="D17" i="1"/>
  <c r="E34" i="1" l="1"/>
  <c r="D34" i="1"/>
  <c r="E13" i="1" l="1"/>
  <c r="D13" i="1"/>
  <c r="E26" i="1" l="1"/>
  <c r="D26" i="1"/>
  <c r="E38" i="1" l="1"/>
  <c r="D38" i="1"/>
  <c r="E24" i="1" l="1"/>
  <c r="D24" i="1"/>
  <c r="E15" i="1"/>
  <c r="E14" i="1"/>
  <c r="D14" i="1"/>
  <c r="E37" i="1"/>
  <c r="D37" i="1"/>
  <c r="E36" i="1"/>
  <c r="D36" i="1"/>
  <c r="E35" i="1"/>
  <c r="D35" i="1"/>
  <c r="D30" i="1"/>
  <c r="E33" i="1"/>
  <c r="D33" i="1"/>
  <c r="E32" i="1"/>
  <c r="D32" i="1"/>
  <c r="E31" i="1"/>
  <c r="D31" i="1"/>
  <c r="E42" i="1"/>
  <c r="E23" i="1"/>
  <c r="E43" i="1" s="1"/>
  <c r="D23" i="1"/>
  <c r="E19" i="1"/>
  <c r="D19" i="1"/>
  <c r="D12" i="1"/>
  <c r="D16" i="1"/>
  <c r="E21" i="1" l="1"/>
  <c r="G21" i="1" s="1"/>
  <c r="F41" i="1"/>
  <c r="F40" i="1"/>
  <c r="F35" i="1"/>
  <c r="F33" i="1"/>
  <c r="F32" i="1"/>
  <c r="F29" i="1"/>
  <c r="F28" i="1"/>
  <c r="F27" i="1"/>
  <c r="F25" i="1"/>
  <c r="F23" i="1"/>
  <c r="D54" i="1" l="1"/>
  <c r="E44" i="1" l="1"/>
</calcChain>
</file>

<file path=xl/sharedStrings.xml><?xml version="1.0" encoding="utf-8"?>
<sst xmlns="http://schemas.openxmlformats.org/spreadsheetml/2006/main" count="86" uniqueCount="75">
  <si>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</si>
  <si>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</si>
  <si>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</si>
  <si>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</si>
  <si>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</si>
  <si>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</si>
  <si>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</si>
  <si>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</si>
  <si>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</si>
  <si>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</si>
  <si>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</si>
  <si>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</si>
  <si>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</si>
  <si>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</si>
  <si>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</si>
  <si>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</si>
  <si>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</si>
  <si>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</si>
  <si>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</si>
  <si>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</si>
  <si>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</si>
  <si>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</si>
  <si>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</si>
  <si>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Очистка канализационной сети внутренней</t>
  </si>
  <si>
    <t>,</t>
  </si>
  <si>
    <t>100м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</si>
  <si>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</si>
  <si>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</si>
  <si>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</si>
  <si>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</si>
  <si>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</si>
  <si>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</si>
  <si>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</si>
  <si>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 xml:space="preserve">                                        по улице Шмидта</t>
  </si>
  <si>
    <t>Прокладка внутренних трубопроводов водоснабжения и отопления из полипропиленовых труб: диам. 25мм</t>
  </si>
  <si>
    <t xml:space="preserve">                                                            </t>
  </si>
  <si>
    <t>Разборка трубопроводов из водогазопроводных труб диам.до 32мм</t>
  </si>
  <si>
    <t>Механизированная уборка снега на придомовой территории</t>
  </si>
  <si>
    <t>мин</t>
  </si>
  <si>
    <t>Смена дверных  приборов:замки навесные</t>
  </si>
  <si>
    <t>100шт.приборов</t>
  </si>
  <si>
    <t>Очистка козырьков от снега</t>
  </si>
  <si>
    <t>м2</t>
  </si>
  <si>
    <t>Гидравлическое испытание трубопроводов систем отопления диам.до 50мм</t>
  </si>
  <si>
    <t>Установка манометров</t>
  </si>
  <si>
    <t>1компл.</t>
  </si>
  <si>
    <t>Сборка узла трубопровода водоснабжения и отопления из многослойного полипропилена,армированнного стекловолокном,раструбная сварка,наружный диаметр:25мм</t>
  </si>
  <si>
    <t>100 соединений</t>
  </si>
  <si>
    <t>услуга</t>
  </si>
  <si>
    <t>имущества МКД, выполненных за 2022  года на жилом доме № 20</t>
  </si>
  <si>
    <t>Смена ламп накаливания</t>
  </si>
  <si>
    <t>Установка анкерных болтов</t>
  </si>
  <si>
    <t>1т</t>
  </si>
  <si>
    <t>Чистка крыш от снега</t>
  </si>
  <si>
    <t>Разборка трубопроводов из чугунных канализационных труб диаметром 100мм</t>
  </si>
  <si>
    <t>100м трубопровода с фасонными частями</t>
  </si>
  <si>
    <t>Прокладка трубопроводов канализации из полиэтиленовых труб высокой плотности диаметром 110мм</t>
  </si>
  <si>
    <t>Смена кранов на шаровые краны диам15,.20  мм</t>
  </si>
  <si>
    <t>Смена трубопроводов из полиэтиленовых канализационных труб диам. до 100мм</t>
  </si>
  <si>
    <t>Окраска масляными составами ранее окрашенных поверхностей труб стальных за 1 раз</t>
  </si>
  <si>
    <t>Простая масляная окраска ранее окрашенных фасадов без подготовки с расчисткой старой краски до 10% с земли и лесов</t>
  </si>
  <si>
    <t>Простая масляная окраска ранее окрашенных скамеек без подготовки с расчисткой старой краски до 10%</t>
  </si>
  <si>
    <t>Прочистка фильтров диаметром 50мм</t>
  </si>
  <si>
    <t>10фильт.</t>
  </si>
  <si>
    <t>Ремонт групповых щитков на лестничной клетке без ремонта автоматов</t>
  </si>
  <si>
    <t>100шт.</t>
  </si>
  <si>
    <t>Валка-3 дерева, распиловка, погрузка и вывоз порубочных остатков контейнером</t>
  </si>
  <si>
    <t>1 услуга</t>
  </si>
  <si>
    <t>Смена вентилей клапанов обратных муфтовых диам. до 20мм</t>
  </si>
  <si>
    <t>Проверка на прогрев отопительных приборов с регулировкой</t>
  </si>
  <si>
    <t>100 приборов</t>
  </si>
  <si>
    <t>Ремонт и восстановление уплотнения стыков пркладками ПРП в 1 ряд в стенах насухо</t>
  </si>
  <si>
    <t>100м восстановленной герметизации стыков</t>
  </si>
  <si>
    <t>Механизированная обработка придовой территории ПСС</t>
  </si>
  <si>
    <t xml:space="preserve">дом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</si>
</sst>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1"/>
  <sheetViews>
    <sheetView tabSelected="1" zoomScale="136" zoomScaleNormal="136" workbookViewId="0">
      <selection activeCell="A50" sqref="A1:E50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16</v>
      </c>
      <c r="C3" s="3"/>
      <c r="D3" s="3"/>
      <c r="E3" s="3"/>
      <c r="F3" s="1"/>
    </row>
    <row r="4" spans="1:6" ht="15.75" x14ac:dyDescent="0.25">
      <c r="A4" s="4"/>
      <c r="B4" s="3" t="s">
        <v>49</v>
      </c>
      <c r="C4" s="3"/>
      <c r="D4" s="3"/>
      <c r="E4" s="3"/>
      <c r="F4" s="1"/>
    </row>
    <row r="5" spans="1:6" ht="15.75" x14ac:dyDescent="0.25">
      <c r="A5" s="4"/>
      <c r="B5" s="3" t="s">
        <v>33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9</v>
      </c>
      <c r="C9" s="6"/>
      <c r="D9" s="6"/>
      <c r="E9" s="6"/>
      <c r="F9" s="4"/>
    </row>
    <row r="10" spans="1:6" s="1" customFormat="1" ht="15.75" x14ac:dyDescent="0.25">
      <c r="A10" s="6">
        <v>1</v>
      </c>
      <c r="B10" s="8" t="s">
        <v>50</v>
      </c>
      <c r="C10" s="8" t="s">
        <v>12</v>
      </c>
      <c r="D10" s="6">
        <f>0.02+0.04+0.02+0.02+0.03</f>
        <v>0.13</v>
      </c>
      <c r="E10" s="6">
        <f>120+183.6+130.2+130.2+208</f>
        <v>772</v>
      </c>
      <c r="F10" s="4"/>
    </row>
    <row r="11" spans="1:6" ht="15.75" x14ac:dyDescent="0.25">
      <c r="A11" s="7">
        <v>2</v>
      </c>
      <c r="B11" s="8" t="s">
        <v>32</v>
      </c>
      <c r="C11" s="8" t="s">
        <v>12</v>
      </c>
      <c r="D11" s="7">
        <f>0.02+0.01+0.02+0.03</f>
        <v>0.08</v>
      </c>
      <c r="E11" s="7">
        <f>363.4+161.8+331.6+498.4</f>
        <v>1355.2</v>
      </c>
      <c r="F11" s="4"/>
    </row>
    <row r="12" spans="1:6" s="1" customFormat="1" ht="47.25" x14ac:dyDescent="0.25">
      <c r="A12" s="7">
        <v>3</v>
      </c>
      <c r="B12" s="8" t="s">
        <v>21</v>
      </c>
      <c r="C12" s="8" t="s">
        <v>22</v>
      </c>
      <c r="D12" s="7">
        <f>0.12</f>
        <v>0.12</v>
      </c>
      <c r="E12" s="7">
        <f>390.4+390.4+396.4+396.4+396.4+396.4+426.4+426.4+426.4+456+456+456</f>
        <v>5013.6000000000004</v>
      </c>
      <c r="F12" s="4"/>
    </row>
    <row r="13" spans="1:6" s="1" customFormat="1" ht="31.5" x14ac:dyDescent="0.25">
      <c r="A13" s="7">
        <v>4</v>
      </c>
      <c r="B13" s="8" t="s">
        <v>69</v>
      </c>
      <c r="C13" s="8" t="s">
        <v>70</v>
      </c>
      <c r="D13" s="7">
        <f>0.02</f>
        <v>0.02</v>
      </c>
      <c r="E13" s="7">
        <f>263.4</f>
        <v>263.39999999999998</v>
      </c>
      <c r="F13" s="4"/>
    </row>
    <row r="14" spans="1:6" s="1" customFormat="1" ht="47.25" x14ac:dyDescent="0.25">
      <c r="A14" s="7">
        <v>5</v>
      </c>
      <c r="B14" s="8" t="s">
        <v>43</v>
      </c>
      <c r="C14" s="8" t="s">
        <v>11</v>
      </c>
      <c r="D14" s="7">
        <f>7.14</f>
        <v>7.14</v>
      </c>
      <c r="E14" s="7">
        <f>49307.8</f>
        <v>49307.8</v>
      </c>
      <c r="F14" s="4"/>
    </row>
    <row r="15" spans="1:6" s="1" customFormat="1" ht="15.75" x14ac:dyDescent="0.25">
      <c r="A15" s="6">
        <v>6</v>
      </c>
      <c r="B15" s="8" t="s">
        <v>62</v>
      </c>
      <c r="C15" s="8" t="s">
        <v>63</v>
      </c>
      <c r="D15" s="7">
        <v>0.2</v>
      </c>
      <c r="E15" s="7">
        <f>6807.4</f>
        <v>6807.4</v>
      </c>
      <c r="F15" s="4"/>
    </row>
    <row r="16" spans="1:6" s="1" customFormat="1" ht="78.75" x14ac:dyDescent="0.25">
      <c r="A16" s="7">
        <v>7</v>
      </c>
      <c r="B16" s="8" t="s">
        <v>17</v>
      </c>
      <c r="C16" s="8" t="s">
        <v>18</v>
      </c>
      <c r="D16" s="7">
        <f>0.6523</f>
        <v>0.65229999999999999</v>
      </c>
      <c r="E16" s="7">
        <f>2255.2+2255.2+2302+2302+2302+2302+2476.6+2476.6+2476.6+2648.2+2648.2+2648.2</f>
        <v>29092.799999999999</v>
      </c>
      <c r="F16" s="4"/>
    </row>
    <row r="17" spans="1:7" s="1" customFormat="1" ht="31.5" x14ac:dyDescent="0.25">
      <c r="A17" s="7">
        <v>8</v>
      </c>
      <c r="B17" s="8" t="s">
        <v>19</v>
      </c>
      <c r="C17" s="8" t="s">
        <v>20</v>
      </c>
      <c r="D17" s="7">
        <f>0.02+0.02+0.02+0.04+0.03+0.02+0.03+0.03+0.02+0.02+0.02</f>
        <v>0.26999999999999996</v>
      </c>
      <c r="E17" s="7">
        <f>1037.2+1037.2+1058.8+2116.2+1586.2+1137.2+1708+1137.2+1217.8+1217.8</f>
        <v>13253.599999999999</v>
      </c>
      <c r="F17" s="4"/>
    </row>
    <row r="18" spans="1:7" s="1" customFormat="1" ht="47.25" x14ac:dyDescent="0.25">
      <c r="A18" s="7">
        <v>9</v>
      </c>
      <c r="B18" s="8" t="s">
        <v>23</v>
      </c>
      <c r="C18" s="8" t="s">
        <v>11</v>
      </c>
      <c r="D18" s="7">
        <f>0.05+0.02+0.03+0.03+0.03+0.06</f>
        <v>0.22</v>
      </c>
      <c r="E18" s="7">
        <f>1244+771+1586.2+771+822.4+1751.4</f>
        <v>6946</v>
      </c>
      <c r="F18" s="4"/>
    </row>
    <row r="19" spans="1:7" s="1" customFormat="1" ht="31.5" x14ac:dyDescent="0.25">
      <c r="A19" s="7">
        <v>10</v>
      </c>
      <c r="B19" s="8" t="s">
        <v>39</v>
      </c>
      <c r="C19" s="8" t="s">
        <v>40</v>
      </c>
      <c r="D19" s="7">
        <f>0.01</f>
        <v>0.01</v>
      </c>
      <c r="E19" s="7">
        <f>1040.8</f>
        <v>1040.8</v>
      </c>
      <c r="F19" s="4"/>
    </row>
    <row r="20" spans="1:7" s="1" customFormat="1" ht="15.75" x14ac:dyDescent="0.25">
      <c r="A20" s="7">
        <v>11</v>
      </c>
      <c r="B20" s="8" t="s">
        <v>41</v>
      </c>
      <c r="C20" s="8" t="s">
        <v>42</v>
      </c>
      <c r="D20" s="7"/>
      <c r="E20" s="7"/>
      <c r="F20" s="4"/>
    </row>
    <row r="21" spans="1:7" ht="15.75" x14ac:dyDescent="0.25">
      <c r="A21" s="7"/>
      <c r="B21" s="8"/>
      <c r="C21" s="8"/>
      <c r="D21" s="7"/>
      <c r="E21" s="9">
        <f>SUM(E10:E20)</f>
        <v>113852.59999999999</v>
      </c>
      <c r="F21" s="4"/>
      <c r="G21" s="13">
        <f>E21-D52</f>
        <v>0</v>
      </c>
    </row>
    <row r="22" spans="1:7" ht="15.75" x14ac:dyDescent="0.25">
      <c r="A22" s="7"/>
      <c r="B22" s="12" t="s">
        <v>10</v>
      </c>
      <c r="C22" s="8"/>
      <c r="D22" s="7"/>
      <c r="E22" s="7"/>
      <c r="F22" s="4"/>
    </row>
    <row r="23" spans="1:7" s="1" customFormat="1" ht="15.75" x14ac:dyDescent="0.25">
      <c r="A23" s="7">
        <v>1</v>
      </c>
      <c r="B23" s="8" t="s">
        <v>51</v>
      </c>
      <c r="C23" s="8" t="s">
        <v>52</v>
      </c>
      <c r="D23" s="7">
        <f>0.001</f>
        <v>1E-3</v>
      </c>
      <c r="E23" s="7">
        <f>351</f>
        <v>351</v>
      </c>
      <c r="F23" s="4">
        <f>E23</f>
        <v>351</v>
      </c>
    </row>
    <row r="24" spans="1:7" s="1" customFormat="1" ht="31.5" x14ac:dyDescent="0.25">
      <c r="A24" s="7">
        <v>2</v>
      </c>
      <c r="B24" s="8" t="s">
        <v>64</v>
      </c>
      <c r="C24" s="8" t="s">
        <v>65</v>
      </c>
      <c r="D24" s="7">
        <f>0.12</f>
        <v>0.12</v>
      </c>
      <c r="E24" s="7">
        <f>11958.6</f>
        <v>11958.6</v>
      </c>
      <c r="F24" s="4"/>
    </row>
    <row r="25" spans="1:7" ht="31.5" x14ac:dyDescent="0.25">
      <c r="A25" s="7">
        <v>3</v>
      </c>
      <c r="B25" s="8" t="s">
        <v>57</v>
      </c>
      <c r="C25" s="8" t="s">
        <v>12</v>
      </c>
      <c r="D25" s="7">
        <f>0.03+0.02+0.01</f>
        <v>6.0000000000000005E-2</v>
      </c>
      <c r="E25" s="7">
        <f>3075.8+2528.6+1015.8</f>
        <v>6620.2</v>
      </c>
      <c r="F25" s="4">
        <f>E25/6</f>
        <v>1103.3666666666666</v>
      </c>
    </row>
    <row r="26" spans="1:7" s="1" customFormat="1" ht="31.5" x14ac:dyDescent="0.25">
      <c r="A26" s="7">
        <v>4</v>
      </c>
      <c r="B26" s="8" t="s">
        <v>68</v>
      </c>
      <c r="C26" s="8" t="s">
        <v>12</v>
      </c>
      <c r="D26" s="7">
        <f>0.01</f>
        <v>0.01</v>
      </c>
      <c r="E26" s="7">
        <f>962.6</f>
        <v>962.6</v>
      </c>
      <c r="F26" s="4"/>
    </row>
    <row r="27" spans="1:7" s="1" customFormat="1" ht="47.25" x14ac:dyDescent="0.25">
      <c r="A27" s="7">
        <v>5</v>
      </c>
      <c r="B27" s="8" t="s">
        <v>36</v>
      </c>
      <c r="C27" s="8" t="s">
        <v>11</v>
      </c>
      <c r="D27" s="7">
        <f>0.12</f>
        <v>0.12</v>
      </c>
      <c r="E27" s="7">
        <f>3692.8</f>
        <v>3692.8</v>
      </c>
      <c r="F27" s="4">
        <f>E27/4</f>
        <v>923.2</v>
      </c>
    </row>
    <row r="28" spans="1:7" s="1" customFormat="1" ht="78.75" x14ac:dyDescent="0.25">
      <c r="A28" s="7">
        <v>6</v>
      </c>
      <c r="B28" s="8" t="s">
        <v>46</v>
      </c>
      <c r="C28" s="8" t="s">
        <v>47</v>
      </c>
      <c r="D28" s="7">
        <f>0.12</f>
        <v>0.12</v>
      </c>
      <c r="E28" s="7">
        <f>369.8</f>
        <v>369.8</v>
      </c>
      <c r="F28" s="4">
        <f>E28/4</f>
        <v>92.45</v>
      </c>
    </row>
    <row r="29" spans="1:7" s="1" customFormat="1" ht="47.25" x14ac:dyDescent="0.25">
      <c r="A29" s="7">
        <v>7</v>
      </c>
      <c r="B29" s="8" t="s">
        <v>34</v>
      </c>
      <c r="C29" s="8" t="s">
        <v>25</v>
      </c>
      <c r="D29" s="7">
        <f>0.12</f>
        <v>0.12</v>
      </c>
      <c r="E29" s="7">
        <f>6113.2</f>
        <v>6113.2</v>
      </c>
      <c r="F29" s="4">
        <f>E29/4</f>
        <v>1528.3</v>
      </c>
    </row>
    <row r="30" spans="1:7" s="1" customFormat="1" ht="94.5" x14ac:dyDescent="0.25">
      <c r="A30" s="7">
        <v>8</v>
      </c>
      <c r="B30" s="8" t="s">
        <v>58</v>
      </c>
      <c r="C30" s="8" t="s">
        <v>55</v>
      </c>
      <c r="D30" s="7">
        <f>0.089</f>
        <v>8.8999999999999996E-2</v>
      </c>
      <c r="E30" s="7">
        <v>12326.4</v>
      </c>
      <c r="F30" s="4"/>
    </row>
    <row r="31" spans="1:7" s="1" customFormat="1" ht="94.5" x14ac:dyDescent="0.25">
      <c r="A31" s="7">
        <v>9</v>
      </c>
      <c r="B31" s="8" t="s">
        <v>54</v>
      </c>
      <c r="C31" s="8" t="s">
        <v>55</v>
      </c>
      <c r="D31" s="7">
        <f>0.08</f>
        <v>0.08</v>
      </c>
      <c r="E31" s="7">
        <f>4815.2</f>
        <v>4815.2</v>
      </c>
      <c r="F31" s="4"/>
    </row>
    <row r="32" spans="1:7" s="1" customFormat="1" ht="47.25" x14ac:dyDescent="0.25">
      <c r="A32" s="7">
        <v>10</v>
      </c>
      <c r="B32" s="8" t="s">
        <v>56</v>
      </c>
      <c r="C32" s="8" t="s">
        <v>11</v>
      </c>
      <c r="D32" s="7">
        <f>0.08</f>
        <v>0.08</v>
      </c>
      <c r="E32" s="7">
        <f>12002.8</f>
        <v>12002.8</v>
      </c>
      <c r="F32" s="4">
        <f>E32/10</f>
        <v>1200.28</v>
      </c>
    </row>
    <row r="33" spans="1:10" s="1" customFormat="1" ht="15.75" x14ac:dyDescent="0.25">
      <c r="A33" s="7">
        <v>11</v>
      </c>
      <c r="B33" s="8" t="s">
        <v>44</v>
      </c>
      <c r="C33" s="8" t="s">
        <v>45</v>
      </c>
      <c r="D33" s="7">
        <f>4</f>
        <v>4</v>
      </c>
      <c r="E33" s="7">
        <f>4471.8</f>
        <v>4471.8</v>
      </c>
      <c r="F33" s="4">
        <f>E33/4</f>
        <v>1117.95</v>
      </c>
    </row>
    <row r="34" spans="1:10" s="1" customFormat="1" ht="94.5" x14ac:dyDescent="0.25">
      <c r="A34" s="7">
        <v>12</v>
      </c>
      <c r="B34" s="8" t="s">
        <v>71</v>
      </c>
      <c r="C34" s="8" t="s">
        <v>72</v>
      </c>
      <c r="D34" s="7">
        <f>0.03</f>
        <v>0.03</v>
      </c>
      <c r="E34" s="7">
        <f>703.8</f>
        <v>703.8</v>
      </c>
      <c r="F34" s="4"/>
    </row>
    <row r="35" spans="1:10" ht="78.75" x14ac:dyDescent="0.25">
      <c r="A35" s="7">
        <v>13</v>
      </c>
      <c r="B35" s="8" t="s">
        <v>59</v>
      </c>
      <c r="C35" s="8" t="s">
        <v>13</v>
      </c>
      <c r="D35" s="7">
        <f>0.0156</f>
        <v>1.5599999999999999E-2</v>
      </c>
      <c r="E35" s="7">
        <f>699.2</f>
        <v>699.2</v>
      </c>
      <c r="F35" s="4">
        <f>E35/1.2</f>
        <v>582.66666666666674</v>
      </c>
    </row>
    <row r="36" spans="1:10" s="1" customFormat="1" ht="78.75" x14ac:dyDescent="0.25">
      <c r="A36" s="7">
        <v>14</v>
      </c>
      <c r="B36" s="8" t="s">
        <v>60</v>
      </c>
      <c r="C36" s="8" t="s">
        <v>13</v>
      </c>
      <c r="D36" s="7">
        <f>0.21</f>
        <v>0.21</v>
      </c>
      <c r="E36" s="7">
        <f>2664.6</f>
        <v>2664.6</v>
      </c>
      <c r="F36" s="4"/>
    </row>
    <row r="37" spans="1:10" s="1" customFormat="1" ht="78.75" x14ac:dyDescent="0.25">
      <c r="A37" s="7">
        <v>15</v>
      </c>
      <c r="B37" s="8" t="s">
        <v>61</v>
      </c>
      <c r="C37" s="8" t="s">
        <v>13</v>
      </c>
      <c r="D37" s="7">
        <f>0.02</f>
        <v>0.02</v>
      </c>
      <c r="E37" s="7">
        <f>194.6</f>
        <v>194.6</v>
      </c>
      <c r="F37" s="4"/>
    </row>
    <row r="38" spans="1:10" s="1" customFormat="1" ht="31.5" x14ac:dyDescent="0.25">
      <c r="A38" s="7">
        <v>16</v>
      </c>
      <c r="B38" s="8" t="s">
        <v>66</v>
      </c>
      <c r="C38" s="8" t="s">
        <v>67</v>
      </c>
      <c r="D38" s="7">
        <f>1</f>
        <v>1</v>
      </c>
      <c r="E38" s="7">
        <f>56000</f>
        <v>56000</v>
      </c>
      <c r="F38" s="4"/>
    </row>
    <row r="39" spans="1:10" s="1" customFormat="1" ht="31.5" x14ac:dyDescent="0.25">
      <c r="A39" s="7">
        <v>17</v>
      </c>
      <c r="B39" s="8" t="s">
        <v>73</v>
      </c>
      <c r="C39" s="8" t="s">
        <v>74</v>
      </c>
      <c r="D39" s="7">
        <f>1</f>
        <v>1</v>
      </c>
      <c r="E39" s="7">
        <f>800</f>
        <v>800</v>
      </c>
      <c r="F39" s="4"/>
    </row>
    <row r="40" spans="1:10" s="1" customFormat="1" ht="31.5" x14ac:dyDescent="0.25">
      <c r="A40" s="7">
        <v>18</v>
      </c>
      <c r="B40" s="8" t="s">
        <v>37</v>
      </c>
      <c r="C40" s="8" t="s">
        <v>38</v>
      </c>
      <c r="D40" s="7">
        <f>125+90+100+30+10+25+30</f>
        <v>410</v>
      </c>
      <c r="E40" s="7">
        <f>4166+3000+3333+1500+417+1250+1250</f>
        <v>14916</v>
      </c>
      <c r="F40" s="4">
        <f>E40/140</f>
        <v>106.54285714285714</v>
      </c>
    </row>
    <row r="41" spans="1:10" s="1" customFormat="1" ht="15.75" x14ac:dyDescent="0.25">
      <c r="A41" s="7">
        <v>19</v>
      </c>
      <c r="B41" s="8" t="s">
        <v>53</v>
      </c>
      <c r="C41" s="8" t="s">
        <v>42</v>
      </c>
      <c r="D41" s="7">
        <f>75.4+128.8+134.2</f>
        <v>338.4</v>
      </c>
      <c r="E41" s="7">
        <f>3016+5152+5368</f>
        <v>13536</v>
      </c>
      <c r="F41" s="4">
        <f>E41/80</f>
        <v>169.2</v>
      </c>
    </row>
    <row r="42" spans="1:10" s="1" customFormat="1" ht="15.75" x14ac:dyDescent="0.25">
      <c r="A42" s="7">
        <v>20</v>
      </c>
      <c r="B42" s="8" t="s">
        <v>53</v>
      </c>
      <c r="C42" s="8" t="s">
        <v>48</v>
      </c>
      <c r="D42" s="7">
        <v>1</v>
      </c>
      <c r="E42" s="7">
        <f>5000</f>
        <v>5000</v>
      </c>
      <c r="F42" s="4"/>
    </row>
    <row r="43" spans="1:10" s="1" customFormat="1" ht="15.75" x14ac:dyDescent="0.25">
      <c r="A43" s="7"/>
      <c r="B43" s="8"/>
      <c r="C43" s="8"/>
      <c r="D43" s="7"/>
      <c r="E43" s="9">
        <f>SUM(E23:E42)</f>
        <v>158198.6</v>
      </c>
      <c r="F43" s="4"/>
      <c r="H43" s="1" t="s">
        <v>35</v>
      </c>
    </row>
    <row r="44" spans="1:10" ht="15.75" x14ac:dyDescent="0.25">
      <c r="A44" s="7"/>
      <c r="B44" s="8" t="s">
        <v>8</v>
      </c>
      <c r="C44" s="7"/>
      <c r="D44" s="7"/>
      <c r="E44" s="9">
        <f>E21+E43</f>
        <v>272051.20000000001</v>
      </c>
      <c r="F44" s="4"/>
    </row>
    <row r="45" spans="1:10" ht="15.75" x14ac:dyDescent="0.25">
      <c r="A45" s="7"/>
      <c r="B45" s="8"/>
      <c r="C45" s="7"/>
      <c r="D45" s="7"/>
      <c r="E45" s="7"/>
      <c r="F45" s="4"/>
    </row>
    <row r="46" spans="1:10" ht="15.75" x14ac:dyDescent="0.25">
      <c r="A46" s="10"/>
      <c r="B46" s="10"/>
      <c r="C46" s="10"/>
      <c r="D46" s="10"/>
      <c r="E46" s="10"/>
      <c r="F46" s="4"/>
      <c r="J46" t="s">
        <v>26</v>
      </c>
    </row>
    <row r="47" spans="1:10" ht="15.75" x14ac:dyDescent="0.25">
      <c r="A47" s="10"/>
      <c r="B47" s="10" t="s">
        <v>14</v>
      </c>
      <c r="C47" s="10" t="s">
        <v>28</v>
      </c>
      <c r="D47" s="10"/>
      <c r="E47" s="10"/>
      <c r="F47" s="1"/>
    </row>
    <row r="48" spans="1:10" x14ac:dyDescent="0.25">
      <c r="A48" s="2"/>
      <c r="B48" s="2"/>
      <c r="C48" s="2"/>
      <c r="D48" s="2"/>
      <c r="E48" s="2"/>
      <c r="F48" s="1"/>
    </row>
    <row r="49" spans="1:7" x14ac:dyDescent="0.25">
      <c r="A49" s="2"/>
      <c r="B49" s="2"/>
      <c r="C49" s="2"/>
      <c r="D49" s="2"/>
      <c r="E49" s="2"/>
      <c r="F49" s="1"/>
    </row>
    <row r="50" spans="1:7" x14ac:dyDescent="0.25">
      <c r="A50" s="2"/>
      <c r="B50" s="2" t="s">
        <v>15</v>
      </c>
      <c r="C50" s="2"/>
      <c r="D50" s="14"/>
      <c r="E50" s="2"/>
      <c r="F50" s="13"/>
      <c r="G50" s="13"/>
    </row>
    <row r="51" spans="1:7" x14ac:dyDescent="0.25">
      <c r="A51" s="2"/>
      <c r="B51" s="2"/>
      <c r="C51" s="2"/>
      <c r="D51" s="2"/>
      <c r="E51" s="2"/>
      <c r="F51" s="13"/>
      <c r="G51" s="13"/>
    </row>
    <row r="52" spans="1:7" x14ac:dyDescent="0.25">
      <c r="A52" s="2"/>
      <c r="B52" s="2"/>
      <c r="C52" s="2" t="s">
        <v>29</v>
      </c>
      <c r="D52" s="14">
        <f>6087.6+4046.2+5055.6+4528.2+4998.2+60399.8+4862.6+4903+4433.8+4653.6+4820.4+5063.6</f>
        <v>113852.60000000002</v>
      </c>
      <c r="E52" s="14"/>
    </row>
    <row r="53" spans="1:7" x14ac:dyDescent="0.25">
      <c r="A53" s="2"/>
      <c r="B53" s="2"/>
      <c r="C53" s="2" t="s">
        <v>30</v>
      </c>
      <c r="D53" s="2">
        <f>12533+8152+3333+16818+23432.4+11958.6+56000+962.6+2528.6+703.8+13908.6+7868</f>
        <v>158198.6</v>
      </c>
      <c r="E53" s="2"/>
    </row>
    <row r="54" spans="1:7" x14ac:dyDescent="0.25">
      <c r="A54" s="2"/>
      <c r="B54" s="2"/>
      <c r="C54" s="2"/>
      <c r="D54" s="14">
        <f>D52+D53</f>
        <v>272051.20000000001</v>
      </c>
      <c r="E54" s="14"/>
    </row>
    <row r="55" spans="1:7" x14ac:dyDescent="0.25">
      <c r="A55" s="2"/>
      <c r="B55" s="2"/>
      <c r="C55" s="2" t="s">
        <v>31</v>
      </c>
      <c r="D55" s="14">
        <f>18620.6+12198.2+8388.6+21346.2+28430.6+72358.4+60862.6+5865.6+6962.4+5357.4+18729+12931.6</f>
        <v>272051.20000000001</v>
      </c>
      <c r="E55" s="2"/>
    </row>
    <row r="56" spans="1:7" x14ac:dyDescent="0.25">
      <c r="A56" s="2"/>
      <c r="B56" s="2"/>
      <c r="C56" s="2"/>
      <c r="D56" s="2"/>
      <c r="E56" s="2"/>
    </row>
    <row r="57" spans="1:7" x14ac:dyDescent="0.25">
      <c r="A57" s="2"/>
      <c r="B57" s="2"/>
      <c r="C57" s="2"/>
      <c r="D57" s="2"/>
      <c r="E57" s="2"/>
    </row>
    <row r="58" spans="1:7" x14ac:dyDescent="0.25">
      <c r="A58" s="2"/>
      <c r="B58" s="2"/>
      <c r="C58" s="2"/>
      <c r="D58" s="2"/>
      <c r="E58" s="2"/>
    </row>
    <row r="59" spans="1:7" x14ac:dyDescent="0.25">
      <c r="A59" s="2"/>
      <c r="B59" s="2"/>
      <c r="C59" s="2"/>
      <c r="D59" s="2"/>
      <c r="E59" s="2"/>
    </row>
    <row r="60" spans="1:7" x14ac:dyDescent="0.25">
      <c r="A60" s="2"/>
      <c r="B60" s="2"/>
      <c r="C60" s="2"/>
      <c r="D60" s="2"/>
      <c r="E60" s="2"/>
    </row>
    <row r="61" spans="1:7" x14ac:dyDescent="0.25">
      <c r="A61" s="2"/>
      <c r="B61" s="2"/>
      <c r="C61" s="2"/>
      <c r="D61" s="2"/>
      <c r="E61" s="2"/>
    </row>
    <row r="62" spans="1:7" x14ac:dyDescent="0.25">
      <c r="A62" s="2"/>
      <c r="B62" s="2"/>
      <c r="C62" s="2"/>
      <c r="D62" s="2"/>
      <c r="E62" s="2"/>
    </row>
    <row r="63" spans="1:7" x14ac:dyDescent="0.25">
      <c r="A63" s="2"/>
      <c r="B63" s="2"/>
      <c r="C63" s="2"/>
      <c r="D63" s="2"/>
      <c r="E63" s="2"/>
    </row>
    <row r="1199" spans="7:7" x14ac:dyDescent="0.25">
      <c r="G1199" t="s">
        <v>27</v>
      </c>
    </row>
    <row r="1201" spans="7:7" x14ac:dyDescent="0.25">
      <c r="G1201" t="s">
        <v>24</v>
      </c>
    </row>
  </sheetData>
  <pageMargins left="0.78740157480314965" right="0.31496062992125984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2023-01-23T13:42:25Z</cp:lastPrinted>
  <dcterms:created xsi:type="dcterms:W3CDTF">2016-09-29T06:37:31Z</dcterms:created>
  <dcterms:modified xsi:type="dcterms:W3CDTF">2023-01-23T13:42:54Z</dcterms:modified>
</cp:coreProperties>
</file>