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8" i="1" l="1"/>
  <c r="D68" i="1"/>
  <c r="E33" i="1"/>
  <c r="D33" i="1"/>
  <c r="E32" i="1"/>
  <c r="D32" i="1"/>
  <c r="E26" i="1"/>
  <c r="D26" i="1"/>
  <c r="E42" i="1"/>
  <c r="D42" i="1"/>
  <c r="E41" i="1"/>
  <c r="D41" i="1"/>
  <c r="E24" i="1"/>
  <c r="D24" i="1"/>
  <c r="E38" i="1"/>
  <c r="D38" i="1"/>
  <c r="E43" i="1"/>
  <c r="D43" i="1"/>
  <c r="E25" i="1"/>
  <c r="D25" i="1"/>
  <c r="E12" i="1"/>
  <c r="E18" i="1"/>
  <c r="D80" i="1"/>
  <c r="D78" i="1"/>
  <c r="D77" i="1"/>
  <c r="E66" i="1" l="1"/>
  <c r="D66" i="1"/>
  <c r="E59" i="1"/>
  <c r="D59" i="1"/>
  <c r="E52" i="1"/>
  <c r="D52" i="1"/>
  <c r="E49" i="1"/>
  <c r="D49" i="1"/>
  <c r="E28" i="1"/>
  <c r="D28" i="1"/>
  <c r="E27" i="1"/>
  <c r="D27" i="1"/>
  <c r="E37" i="1"/>
  <c r="D37" i="1"/>
  <c r="E36" i="1"/>
  <c r="E10" i="1"/>
  <c r="D10" i="1"/>
  <c r="E19" i="1"/>
  <c r="D19" i="1"/>
  <c r="E17" i="1"/>
  <c r="D17" i="1"/>
  <c r="E15" i="1" l="1"/>
  <c r="D15" i="1"/>
  <c r="E56" i="1" l="1"/>
  <c r="D56" i="1"/>
  <c r="E55" i="1"/>
  <c r="D55" i="1"/>
  <c r="E54" i="1"/>
  <c r="D54" i="1"/>
  <c r="E53" i="1"/>
  <c r="D53" i="1"/>
  <c r="E21" i="1"/>
  <c r="D21" i="1"/>
  <c r="D11" i="1"/>
  <c r="E11" i="1"/>
  <c r="E60" i="1" l="1"/>
  <c r="D60" i="1"/>
  <c r="E63" i="1" l="1"/>
  <c r="D63" i="1"/>
  <c r="E64" i="1"/>
  <c r="D64" i="1"/>
  <c r="E45" i="1"/>
  <c r="D45" i="1"/>
  <c r="E35" i="1"/>
  <c r="D35" i="1"/>
  <c r="E34" i="1"/>
  <c r="D34" i="1"/>
  <c r="E29" i="1"/>
  <c r="D29" i="1"/>
  <c r="E44" i="1"/>
  <c r="D44" i="1"/>
  <c r="E40" i="1"/>
  <c r="E39" i="1"/>
  <c r="D39" i="1"/>
  <c r="E20" i="1"/>
  <c r="D20" i="1"/>
  <c r="E65" i="1" l="1"/>
  <c r="E13" i="1" l="1"/>
  <c r="D13" i="1"/>
  <c r="E62" i="1"/>
  <c r="E61" i="1"/>
  <c r="D61" i="1"/>
  <c r="E57" i="1"/>
  <c r="D57" i="1"/>
  <c r="E51" i="1"/>
  <c r="D51" i="1"/>
  <c r="E58" i="1"/>
  <c r="D58" i="1"/>
  <c r="E48" i="1"/>
  <c r="D48" i="1"/>
  <c r="E47" i="1"/>
  <c r="D47" i="1"/>
  <c r="E46" i="1"/>
  <c r="D46" i="1"/>
  <c r="E31" i="1"/>
  <c r="D31" i="1"/>
  <c r="E30" i="1"/>
  <c r="D30" i="1"/>
  <c r="D18" i="1"/>
  <c r="E16" i="1"/>
  <c r="D16" i="1"/>
  <c r="E22" i="1" l="1"/>
  <c r="E50" i="1"/>
  <c r="E69" i="1" s="1"/>
  <c r="D50" i="1"/>
  <c r="D12" i="1"/>
  <c r="F68" i="1" l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50" i="1"/>
  <c r="F48" i="1"/>
  <c r="F47" i="1"/>
  <c r="F46" i="1"/>
  <c r="F45" i="1"/>
  <c r="F44" i="1"/>
  <c r="F43" i="1"/>
  <c r="F42" i="1"/>
  <c r="F41" i="1"/>
  <c r="F33" i="1"/>
  <c r="F32" i="1"/>
  <c r="F31" i="1"/>
  <c r="F28" i="1"/>
  <c r="F26" i="1"/>
  <c r="F25" i="1"/>
  <c r="F24" i="1"/>
  <c r="D79" i="1" l="1"/>
  <c r="E70" i="1" l="1"/>
</calcChain>
</file>

<file path=xl/sharedStrings.xml><?xml version="1.0" encoding="utf-8"?>
<sst xmlns="http://schemas.openxmlformats.org/spreadsheetml/2006/main" count="139" uniqueCount="106">
  <si>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</si>
  <si>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</si>
  <si>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</si>
  <si>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</si>
  <si>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</si>
  <si>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</si>
  <si>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</si>
  <si>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</si>
  <si>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</si>
  <si>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</si>
  <si>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</si>
  <si>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</si>
  <si>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</si>
  <si>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</si>
  <si>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</si>
  <si>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</si>
  <si>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</si>
  <si>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</si>
  <si>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</si>
  <si>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</si>
  <si>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</si>
  <si>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</si>
  <si>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</si>
  <si>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</si>
  <si>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Очистка канализационной сети внутренней</t>
  </si>
  <si>
    <t>100шт приб.</t>
  </si>
  <si>
    <t>100м2 отремон.поверхности</t>
  </si>
  <si>
    <t>,</t>
  </si>
  <si>
    <t>100м</t>
  </si>
  <si>
    <t xml:space="preserve"> </t>
  </si>
  <si>
    <t>Ремонт штукатурки внутренних стен по камню известковым раствором площадью отдельных мест до 1 м2 толщиной слоя до 20мм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</si>
  <si>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</si>
  <si>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</si>
  <si>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</si>
  <si>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</si>
  <si>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</si>
  <si>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</si>
  <si>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Прокладка внутренних трубопроводов водоснабжения и отопления из полипропиленовых труб: диам. 32мм</t>
  </si>
  <si>
    <t xml:space="preserve">                                        по улице Шмидта</t>
  </si>
  <si>
    <t>Разборка трубопроводов из водогазопроводных труб диам до 32мм</t>
  </si>
  <si>
    <t xml:space="preserve">  </t>
  </si>
  <si>
    <t>Прокладка внутренних трубопроводов водоснабжения и отопления из полипропиленовых труб: диам. 25мм</t>
  </si>
  <si>
    <t>Механизированная уборка снега на придомовой территории</t>
  </si>
  <si>
    <t>мин</t>
  </si>
  <si>
    <t xml:space="preserve">Провод групповой осветительных сетей </t>
  </si>
  <si>
    <t>Простая масляная окраска ранее окрашенных фасадов с расчисткой старой краски до 10%</t>
  </si>
  <si>
    <t>Гидравлическое испытание трубопроводов систем отопления диам.до 100мм</t>
  </si>
  <si>
    <t>Установка манометров</t>
  </si>
  <si>
    <t>1 компл.</t>
  </si>
  <si>
    <t>Огрунтовка ранее окрашенных фасадов по окраску</t>
  </si>
  <si>
    <t>100м2 обработанной поверхности</t>
  </si>
  <si>
    <t>Шпатлевка ранее окрашенных фасадов под окраску</t>
  </si>
  <si>
    <t>100 соединений</t>
  </si>
  <si>
    <t>100шт.</t>
  </si>
  <si>
    <t>имущества МКД, выполненных за 2022  года на жилом доме № 18</t>
  </si>
  <si>
    <t>Сборка узла трубопровода водоснабжения и отопления из многослойного полипропилена,армированнного стекловолокном,раструбная сварка,наружный диаметр:25мм</t>
  </si>
  <si>
    <t>Сборка узла трубопровода водоснабжения и отопления из многослойного полипропилена,армированнного стекловолокном,раструбная сварка,наружный диаметр:32мм</t>
  </si>
  <si>
    <t>Разборка трубопроводов из водогазопроводных труб диам до 63мм</t>
  </si>
  <si>
    <t>Сборка узла трубопровода водоснабжения и отопления из многослойного полипропилена,армированнного стекловолокном,раструбная сварка,наружный диаметр:40мм</t>
  </si>
  <si>
    <t>Прокладка внутренних трубопроводов водоснабжения и отопления из полипропиленовых труб: диам. 40мм</t>
  </si>
  <si>
    <t>Разборка кирпичных перегородок на отдельные кирпичи</t>
  </si>
  <si>
    <t>100м2 перегородки</t>
  </si>
  <si>
    <t>Ремонт лицевой поверхности наружных стен при глубине заделки в 1/2 кирпича площадью в одном месте</t>
  </si>
  <si>
    <t>Установка хомутов диаметром трубопроводов до 100мм</t>
  </si>
  <si>
    <t>Услуги экскаватора-погрузчика,самосвала,погрузка и вывоз снега с придомовой территории</t>
  </si>
  <si>
    <t>м3</t>
  </si>
  <si>
    <t>Смена кранов на шаровые краны диам.20,32 мм</t>
  </si>
  <si>
    <t>Демонтаж унитазов</t>
  </si>
  <si>
    <t>Монтаж унитазов</t>
  </si>
  <si>
    <t>100приборов</t>
  </si>
  <si>
    <t>Зачеканка раструбов цементным раствором чугунной канализации с осмотром,очисткой и заделкой</t>
  </si>
  <si>
    <t>Окраска масляными составами ранее окрашенных больших металлических поверхностей(кроме крыш) за 1 раз</t>
  </si>
  <si>
    <t>Окраска масляными составами ранее окрашенных поверхностей труб стальных за 1 раз</t>
  </si>
  <si>
    <t>Простая масляная окраска ранее окрашенных скамеек без подготовки с расчисткой старой краски до 10%</t>
  </si>
  <si>
    <t>Прочистка фильтров диаметром 50мм</t>
  </si>
  <si>
    <t>10фильт.</t>
  </si>
  <si>
    <t>Ремонт групповых щитков на лестничной клетке без ремонта автоматов</t>
  </si>
  <si>
    <t>Очистка внутренней поверхности:теплообменного аппарата площадью нагрева 12м2</t>
  </si>
  <si>
    <t>1шт.</t>
  </si>
  <si>
    <t>Гидравлическое испытание аппарата или сосуда горизонтального или вертикального, работающего под давлением</t>
  </si>
  <si>
    <t>Смена внутренних трубопроводов из стальных труб диам. 50мм</t>
  </si>
  <si>
    <t>Сборка узла трубопровода водоснабжения и отопления из многослойного полипропилена,армированнного стекловолокном,раструбная сварка,наружный диаметр:50мм</t>
  </si>
  <si>
    <t>Прокладка внутренних трубопроводов водоснабжения и отопления из полипропиленовых труб: диам. 50мм</t>
  </si>
  <si>
    <t>Смена задвижек диаметром 50мм на шаровые краны</t>
  </si>
  <si>
    <t>Ремонт групповых щитков на лестничной клетке со сменой  автоматов</t>
  </si>
  <si>
    <t>Установка шинопровода</t>
  </si>
  <si>
    <t xml:space="preserve">100м </t>
  </si>
  <si>
    <t>Ремонт штукатурки гладких фасадов по камню и бетону с земли и лесов</t>
  </si>
  <si>
    <t>Окраска перхлорвиниловыми красками по подготовленной поверхности фасадов</t>
  </si>
  <si>
    <t>Проверка на прогрев отопительных приборов с регулировкой</t>
  </si>
  <si>
    <t>100 приборов</t>
  </si>
  <si>
    <t>Смена ламп накаливания</t>
  </si>
  <si>
    <t>Смена дверных приборов:петли</t>
  </si>
  <si>
    <t>Демонтаж фильтров диаметром 32мм</t>
  </si>
  <si>
    <t>10фильтров</t>
  </si>
  <si>
    <t>Установка фильтров диаметром 32мм</t>
  </si>
  <si>
    <t>10 фильтров</t>
  </si>
  <si>
    <t>Установка насосов</t>
  </si>
  <si>
    <t>1 насос</t>
  </si>
  <si>
    <t xml:space="preserve">Заделка отверстий,гнезд и борозд в перекрытиях </t>
  </si>
  <si>
    <t>1м3 заделки</t>
  </si>
  <si>
    <t>Улучшенная масляная окраска ранее окрашенных стен за 2 раза с расчисткой старой краски</t>
  </si>
  <si>
    <t>Смена обратных клапанов диаметром до 32мм</t>
  </si>
  <si>
    <t>Демонтаж расширительных баков</t>
  </si>
  <si>
    <t>Установка баков расширительных</t>
  </si>
  <si>
    <t>1бак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</si>
</sst>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9"/>
  <sheetViews>
    <sheetView tabSelected="1" zoomScale="148" zoomScaleNormal="148" workbookViewId="0">
      <selection activeCell="E76" sqref="A1:E7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7" ht="15.75" x14ac:dyDescent="0.25">
      <c r="A1" s="4"/>
      <c r="B1" s="4"/>
      <c r="C1" s="4"/>
      <c r="D1" s="4"/>
      <c r="E1" s="4"/>
      <c r="F1" s="1"/>
    </row>
    <row r="2" spans="1:7" ht="15.75" x14ac:dyDescent="0.25">
      <c r="A2" s="4"/>
      <c r="B2" s="3" t="s">
        <v>0</v>
      </c>
      <c r="C2" s="3"/>
      <c r="D2" s="4"/>
      <c r="E2" s="4"/>
      <c r="F2" s="1"/>
    </row>
    <row r="3" spans="1:7" ht="15.75" x14ac:dyDescent="0.25">
      <c r="A3" s="4"/>
      <c r="B3" s="3" t="s">
        <v>17</v>
      </c>
      <c r="C3" s="3"/>
      <c r="D3" s="3"/>
      <c r="E3" s="3"/>
      <c r="F3" s="1"/>
    </row>
    <row r="4" spans="1:7" ht="15.75" x14ac:dyDescent="0.25">
      <c r="A4" s="4"/>
      <c r="B4" s="3" t="s">
        <v>54</v>
      </c>
      <c r="C4" s="3"/>
      <c r="D4" s="3"/>
      <c r="E4" s="3"/>
      <c r="F4" s="1"/>
    </row>
    <row r="5" spans="1:7" ht="15.75" x14ac:dyDescent="0.25">
      <c r="A5" s="4"/>
      <c r="B5" s="3" t="s">
        <v>38</v>
      </c>
      <c r="C5" s="3"/>
      <c r="D5" s="3"/>
      <c r="E5" s="3"/>
      <c r="F5" s="1"/>
    </row>
    <row r="6" spans="1:7" ht="15.75" x14ac:dyDescent="0.25">
      <c r="A6" s="4"/>
      <c r="B6" s="4"/>
      <c r="C6" s="4"/>
      <c r="D6" s="4"/>
      <c r="E6" s="4"/>
      <c r="F6" s="1"/>
    </row>
    <row r="7" spans="1:7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7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7" s="1" customFormat="1" ht="15.75" x14ac:dyDescent="0.25">
      <c r="A9" s="6"/>
      <c r="B9" s="11" t="s">
        <v>9</v>
      </c>
      <c r="C9" s="6"/>
      <c r="D9" s="6"/>
      <c r="E9" s="6"/>
      <c r="F9" s="4"/>
    </row>
    <row r="10" spans="1:7" ht="15.75" x14ac:dyDescent="0.25">
      <c r="A10" s="7">
        <v>1</v>
      </c>
      <c r="B10" s="8" t="s">
        <v>36</v>
      </c>
      <c r="C10" s="8" t="s">
        <v>12</v>
      </c>
      <c r="D10" s="7">
        <f>0.01+0.03+0.06+0.05</f>
        <v>0.15000000000000002</v>
      </c>
      <c r="E10" s="7">
        <f>156.6+486.4+994+829</f>
        <v>2466</v>
      </c>
      <c r="F10" s="4"/>
    </row>
    <row r="11" spans="1:7" s="1" customFormat="1" ht="15.75" x14ac:dyDescent="0.25">
      <c r="A11" s="7">
        <v>2</v>
      </c>
      <c r="B11" s="8" t="s">
        <v>91</v>
      </c>
      <c r="C11" s="8" t="s">
        <v>12</v>
      </c>
      <c r="D11" s="7">
        <f>0.02</f>
        <v>0.02</v>
      </c>
      <c r="E11" s="7">
        <f>130.2</f>
        <v>130.19999999999999</v>
      </c>
      <c r="F11" s="4"/>
    </row>
    <row r="12" spans="1:7" s="1" customFormat="1" ht="47.25" x14ac:dyDescent="0.25">
      <c r="A12" s="7">
        <v>3</v>
      </c>
      <c r="B12" s="8" t="s">
        <v>22</v>
      </c>
      <c r="C12" s="8" t="s">
        <v>23</v>
      </c>
      <c r="D12" s="7">
        <f>0.09</f>
        <v>0.09</v>
      </c>
      <c r="E12" s="7">
        <f>292.6+292.6+297.6+297.6+297.6+297.6+319.2+319.2+319.2+340.6+340.6+340.6</f>
        <v>3754.9999999999991</v>
      </c>
      <c r="F12" s="4"/>
    </row>
    <row r="13" spans="1:7" ht="47.25" x14ac:dyDescent="0.25">
      <c r="A13" s="7">
        <v>4</v>
      </c>
      <c r="B13" s="8" t="s">
        <v>14</v>
      </c>
      <c r="C13" s="8" t="s">
        <v>11</v>
      </c>
      <c r="D13" s="7">
        <f>8.11</f>
        <v>8.11</v>
      </c>
      <c r="E13" s="7">
        <f>56006.6</f>
        <v>56006.6</v>
      </c>
      <c r="F13" s="4"/>
      <c r="G13">
        <v>0</v>
      </c>
    </row>
    <row r="14" spans="1:7" s="1" customFormat="1" ht="47.25" x14ac:dyDescent="0.25">
      <c r="A14" s="7">
        <v>5</v>
      </c>
      <c r="B14" s="8" t="s">
        <v>46</v>
      </c>
      <c r="C14" s="8" t="s">
        <v>11</v>
      </c>
      <c r="D14" s="7">
        <v>0.86</v>
      </c>
      <c r="E14" s="7">
        <v>6018.2</v>
      </c>
      <c r="F14" s="4"/>
    </row>
    <row r="15" spans="1:7" s="1" customFormat="1" ht="31.5" x14ac:dyDescent="0.25">
      <c r="A15" s="7">
        <v>6</v>
      </c>
      <c r="B15" s="8" t="s">
        <v>89</v>
      </c>
      <c r="C15" s="8" t="s">
        <v>90</v>
      </c>
      <c r="D15" s="7">
        <f>0.02+0.12</f>
        <v>0.13999999999999999</v>
      </c>
      <c r="E15" s="7">
        <f>263.4+1700.6</f>
        <v>1964</v>
      </c>
      <c r="F15" s="4"/>
    </row>
    <row r="16" spans="1:7" s="1" customFormat="1" ht="31.5" x14ac:dyDescent="0.25">
      <c r="A16" s="7">
        <v>7</v>
      </c>
      <c r="B16" s="8" t="s">
        <v>63</v>
      </c>
      <c r="C16" s="8" t="s">
        <v>12</v>
      </c>
      <c r="D16" s="7">
        <f>0.02</f>
        <v>0.02</v>
      </c>
      <c r="E16" s="7">
        <f>2315.4</f>
        <v>2315.4</v>
      </c>
      <c r="F16" s="4"/>
    </row>
    <row r="17" spans="1:6" s="1" customFormat="1" ht="15.75" x14ac:dyDescent="0.25">
      <c r="A17" s="7">
        <v>8</v>
      </c>
      <c r="B17" s="8" t="s">
        <v>74</v>
      </c>
      <c r="C17" s="8" t="s">
        <v>75</v>
      </c>
      <c r="D17" s="7">
        <f>0.2+0.2+0.1</f>
        <v>0.5</v>
      </c>
      <c r="E17" s="7">
        <f>2399.8+2586+1368.8</f>
        <v>6354.6</v>
      </c>
      <c r="F17" s="4"/>
    </row>
    <row r="18" spans="1:6" s="1" customFormat="1" ht="78.75" x14ac:dyDescent="0.25">
      <c r="A18" s="7">
        <v>9</v>
      </c>
      <c r="B18" s="8" t="s">
        <v>18</v>
      </c>
      <c r="C18" s="8" t="s">
        <v>19</v>
      </c>
      <c r="D18" s="7">
        <f>0.64</f>
        <v>0.64</v>
      </c>
      <c r="E18" s="7">
        <f>2214.2+2214.2+2257.2+2257.2+2257.2+2257.2+2428.8+2428.8+2428.8+2598.2+2598.2+2598.2</f>
        <v>28538.2</v>
      </c>
      <c r="F18" s="4"/>
    </row>
    <row r="19" spans="1:6" s="1" customFormat="1" ht="31.5" x14ac:dyDescent="0.25">
      <c r="A19" s="7">
        <v>10</v>
      </c>
      <c r="B19" s="8" t="s">
        <v>20</v>
      </c>
      <c r="C19" s="8" t="s">
        <v>21</v>
      </c>
      <c r="D19" s="7">
        <f>0.04+0.02+0.02+0.03+0.02+0.03+0.02+0.01+0.0112</f>
        <v>0.20119999999999999</v>
      </c>
      <c r="E19" s="7">
        <f>2075.6+1037.2+1058.8+1586.2+1058.8+1708+1137.2+2274.6+391+681.8</f>
        <v>13009.2</v>
      </c>
      <c r="F19" s="4"/>
    </row>
    <row r="20" spans="1:6" s="1" customFormat="1" ht="47.25" x14ac:dyDescent="0.25">
      <c r="A20" s="7">
        <v>11</v>
      </c>
      <c r="B20" s="8" t="s">
        <v>24</v>
      </c>
      <c r="C20" s="8" t="s">
        <v>11</v>
      </c>
      <c r="D20" s="7">
        <f>0.02</f>
        <v>0.02</v>
      </c>
      <c r="E20" s="7">
        <f>546</f>
        <v>546</v>
      </c>
      <c r="F20" s="4"/>
    </row>
    <row r="21" spans="1:6" s="1" customFormat="1" ht="31.5" x14ac:dyDescent="0.25">
      <c r="A21" s="7">
        <v>12</v>
      </c>
      <c r="B21" s="8" t="s">
        <v>92</v>
      </c>
      <c r="C21" s="8" t="s">
        <v>25</v>
      </c>
      <c r="D21" s="7">
        <f>0.01</f>
        <v>0.01</v>
      </c>
      <c r="E21" s="7">
        <f>857.2</f>
        <v>857.2</v>
      </c>
      <c r="F21" s="4"/>
    </row>
    <row r="22" spans="1:6" ht="15.75" x14ac:dyDescent="0.25">
      <c r="A22" s="7"/>
      <c r="B22" s="8"/>
      <c r="C22" s="8"/>
      <c r="D22" s="7"/>
      <c r="E22" s="9">
        <f>SUM(E10:E21)</f>
        <v>121960.59999999999</v>
      </c>
      <c r="F22" s="4"/>
    </row>
    <row r="23" spans="1:6" ht="15.75" x14ac:dyDescent="0.25">
      <c r="A23" s="7"/>
      <c r="B23" s="12" t="s">
        <v>10</v>
      </c>
      <c r="C23" s="8"/>
      <c r="D23" s="7"/>
      <c r="E23" s="7"/>
      <c r="F23" s="4"/>
    </row>
    <row r="24" spans="1:6" ht="31.5" x14ac:dyDescent="0.25">
      <c r="A24" s="7">
        <v>1</v>
      </c>
      <c r="B24" s="8" t="s">
        <v>66</v>
      </c>
      <c r="C24" s="8" t="s">
        <v>12</v>
      </c>
      <c r="D24" s="7">
        <f>0.01+0.02+0.03+0.04+0.06+0.02+0.01+0.03+0.03</f>
        <v>0.25</v>
      </c>
      <c r="E24" s="7">
        <f>867.4+1734.8+4772.2+4290.8+5329+2087.2+1537+4238.6+3095</f>
        <v>27952</v>
      </c>
      <c r="F24" s="4">
        <f>E24/14</f>
        <v>1996.5714285714287</v>
      </c>
    </row>
    <row r="25" spans="1:6" s="1" customFormat="1" ht="15.75" x14ac:dyDescent="0.25">
      <c r="A25" s="7">
        <v>2</v>
      </c>
      <c r="B25" s="8" t="s">
        <v>47</v>
      </c>
      <c r="C25" s="8" t="s">
        <v>48</v>
      </c>
      <c r="D25" s="7">
        <f>4+2+1</f>
        <v>7</v>
      </c>
      <c r="E25" s="7">
        <f>4471.8+2273.6+1156.8</f>
        <v>7902.2</v>
      </c>
      <c r="F25" s="4">
        <f>E25/D25</f>
        <v>1128.8857142857144</v>
      </c>
    </row>
    <row r="26" spans="1:6" s="1" customFormat="1" ht="47.25" x14ac:dyDescent="0.25">
      <c r="A26" s="7">
        <v>3</v>
      </c>
      <c r="B26" s="8" t="s">
        <v>39</v>
      </c>
      <c r="C26" s="8" t="s">
        <v>11</v>
      </c>
      <c r="D26" s="7">
        <f>0.14+0.01+0.01+0.02+0.02</f>
        <v>0.2</v>
      </c>
      <c r="E26" s="7">
        <f>3366.2+244.4+282.6+564.6+564.6</f>
        <v>5022.4000000000005</v>
      </c>
      <c r="F26" s="4">
        <f>E26/21</f>
        <v>239.16190476190479</v>
      </c>
    </row>
    <row r="27" spans="1:6" s="1" customFormat="1" ht="78.75" x14ac:dyDescent="0.25">
      <c r="A27" s="7">
        <v>4</v>
      </c>
      <c r="B27" s="8" t="s">
        <v>56</v>
      </c>
      <c r="C27" s="8" t="s">
        <v>52</v>
      </c>
      <c r="D27" s="7">
        <f>0.07+0.01</f>
        <v>0.08</v>
      </c>
      <c r="E27" s="7">
        <f>225.8+38.8</f>
        <v>264.60000000000002</v>
      </c>
      <c r="F27" s="4"/>
    </row>
    <row r="28" spans="1:6" s="1" customFormat="1" ht="47.25" x14ac:dyDescent="0.25">
      <c r="A28" s="7">
        <v>5</v>
      </c>
      <c r="B28" s="8" t="s">
        <v>37</v>
      </c>
      <c r="C28" s="8" t="s">
        <v>28</v>
      </c>
      <c r="D28" s="7">
        <f>0.05+0.01</f>
        <v>6.0000000000000005E-2</v>
      </c>
      <c r="E28" s="7">
        <f>13791.6+1710.6</f>
        <v>15502.2</v>
      </c>
      <c r="F28" s="4">
        <f>E28/9</f>
        <v>1722.4666666666667</v>
      </c>
    </row>
    <row r="29" spans="1:6" s="1" customFormat="1" ht="47.25" x14ac:dyDescent="0.25">
      <c r="A29" s="7">
        <v>6</v>
      </c>
      <c r="B29" s="8" t="s">
        <v>57</v>
      </c>
      <c r="C29" s="8" t="s">
        <v>11</v>
      </c>
      <c r="D29" s="7">
        <f>0.08+0.01</f>
        <v>0.09</v>
      </c>
      <c r="E29" s="7">
        <f>3309.2+453</f>
        <v>3762.2</v>
      </c>
      <c r="F29" s="4"/>
    </row>
    <row r="30" spans="1:6" s="1" customFormat="1" ht="78.75" x14ac:dyDescent="0.25">
      <c r="A30" s="7">
        <v>7</v>
      </c>
      <c r="B30" s="8" t="s">
        <v>58</v>
      </c>
      <c r="C30" s="8" t="s">
        <v>52</v>
      </c>
      <c r="D30" s="7">
        <f>0.1+0.02</f>
        <v>0.12000000000000001</v>
      </c>
      <c r="E30" s="7">
        <f>385.8+80.2</f>
        <v>466</v>
      </c>
      <c r="F30" s="4"/>
    </row>
    <row r="31" spans="1:6" s="1" customFormat="1" ht="47.25" x14ac:dyDescent="0.25">
      <c r="A31" s="7">
        <v>8</v>
      </c>
      <c r="B31" s="8" t="s">
        <v>59</v>
      </c>
      <c r="C31" s="8" t="s">
        <v>28</v>
      </c>
      <c r="D31" s="7">
        <f>0.08+0.02</f>
        <v>0.1</v>
      </c>
      <c r="E31" s="7">
        <f>3245.6+5053</f>
        <v>8298.6</v>
      </c>
      <c r="F31" s="4">
        <f>E31/32.5</f>
        <v>255.34153846153848</v>
      </c>
    </row>
    <row r="32" spans="1:6" s="1" customFormat="1" ht="78.75" x14ac:dyDescent="0.25">
      <c r="A32" s="7">
        <v>9</v>
      </c>
      <c r="B32" s="8" t="s">
        <v>55</v>
      </c>
      <c r="C32" s="8" t="s">
        <v>52</v>
      </c>
      <c r="D32" s="7">
        <f>0.11+0.01+0.02+0.02+0.02</f>
        <v>0.17999999999999997</v>
      </c>
      <c r="E32" s="7">
        <f>286+27.6+60.2+60.2+60.2</f>
        <v>494.2</v>
      </c>
      <c r="F32" s="4">
        <f>E32/5</f>
        <v>98.84</v>
      </c>
    </row>
    <row r="33" spans="1:6" s="1" customFormat="1" ht="47.25" x14ac:dyDescent="0.25">
      <c r="A33" s="7">
        <v>10</v>
      </c>
      <c r="B33" s="8" t="s">
        <v>41</v>
      </c>
      <c r="C33" s="8" t="s">
        <v>28</v>
      </c>
      <c r="D33" s="7">
        <f>0.09+0.01+0.01+0.02+0.02</f>
        <v>0.14999999999999997</v>
      </c>
      <c r="E33" s="7">
        <f>2154.8+511+1702.6+3613.8+3273.4</f>
        <v>11255.6</v>
      </c>
      <c r="F33" s="4">
        <f>E33/4.5</f>
        <v>2501.2444444444445</v>
      </c>
    </row>
    <row r="34" spans="1:6" s="1" customFormat="1" ht="78.75" x14ac:dyDescent="0.25">
      <c r="A34" s="7">
        <v>11</v>
      </c>
      <c r="B34" s="8" t="s">
        <v>81</v>
      </c>
      <c r="C34" s="8" t="s">
        <v>52</v>
      </c>
      <c r="D34" s="7">
        <f>0.04</f>
        <v>0.04</v>
      </c>
      <c r="E34" s="7">
        <f>290.4</f>
        <v>290.39999999999998</v>
      </c>
      <c r="F34" s="4"/>
    </row>
    <row r="35" spans="1:6" s="1" customFormat="1" ht="47.25" x14ac:dyDescent="0.25">
      <c r="A35" s="7">
        <v>12</v>
      </c>
      <c r="B35" s="8" t="s">
        <v>82</v>
      </c>
      <c r="C35" s="8" t="s">
        <v>28</v>
      </c>
      <c r="D35" s="7">
        <f>0.01</f>
        <v>0.01</v>
      </c>
      <c r="E35" s="7">
        <f>2416.8</f>
        <v>2416.8000000000002</v>
      </c>
      <c r="F35" s="4"/>
    </row>
    <row r="36" spans="1:6" s="1" customFormat="1" ht="31.5" x14ac:dyDescent="0.25">
      <c r="A36" s="7">
        <v>13</v>
      </c>
      <c r="B36" s="8" t="s">
        <v>93</v>
      </c>
      <c r="C36" s="8" t="s">
        <v>94</v>
      </c>
      <c r="D36" s="7">
        <v>0.1</v>
      </c>
      <c r="E36" s="7">
        <f>409.8</f>
        <v>409.8</v>
      </c>
      <c r="F36" s="4"/>
    </row>
    <row r="37" spans="1:6" s="1" customFormat="1" ht="31.5" x14ac:dyDescent="0.25">
      <c r="A37" s="7">
        <v>14</v>
      </c>
      <c r="B37" s="8" t="s">
        <v>95</v>
      </c>
      <c r="C37" s="8" t="s">
        <v>96</v>
      </c>
      <c r="D37" s="7">
        <f>0.1</f>
        <v>0.1</v>
      </c>
      <c r="E37" s="7">
        <f>2580.6</f>
        <v>2580.6</v>
      </c>
      <c r="F37" s="4"/>
    </row>
    <row r="38" spans="1:6" s="1" customFormat="1" ht="15.75" x14ac:dyDescent="0.25">
      <c r="A38" s="7">
        <v>15</v>
      </c>
      <c r="B38" s="8" t="s">
        <v>97</v>
      </c>
      <c r="C38" s="8" t="s">
        <v>98</v>
      </c>
      <c r="D38" s="7">
        <f>1+1</f>
        <v>2</v>
      </c>
      <c r="E38" s="7">
        <f>25937.8+25937.8</f>
        <v>51875.6</v>
      </c>
      <c r="F38" s="4"/>
    </row>
    <row r="39" spans="1:6" s="1" customFormat="1" ht="47.25" x14ac:dyDescent="0.25">
      <c r="A39" s="7">
        <v>16</v>
      </c>
      <c r="B39" s="8" t="s">
        <v>77</v>
      </c>
      <c r="C39" s="8" t="s">
        <v>78</v>
      </c>
      <c r="D39" s="7">
        <f>2</f>
        <v>2</v>
      </c>
      <c r="E39" s="7">
        <f>38622.8</f>
        <v>38622.800000000003</v>
      </c>
      <c r="F39" s="4"/>
    </row>
    <row r="40" spans="1:6" s="1" customFormat="1" ht="47.25" x14ac:dyDescent="0.25">
      <c r="A40" s="7">
        <v>17</v>
      </c>
      <c r="B40" s="8" t="s">
        <v>79</v>
      </c>
      <c r="C40" s="8" t="s">
        <v>78</v>
      </c>
      <c r="D40" s="7">
        <v>2</v>
      </c>
      <c r="E40" s="7">
        <f>12595.4</f>
        <v>12595.4</v>
      </c>
      <c r="F40" s="4"/>
    </row>
    <row r="41" spans="1:6" s="17" customFormat="1" ht="15.75" x14ac:dyDescent="0.25">
      <c r="A41" s="7">
        <v>18</v>
      </c>
      <c r="B41" s="15" t="s">
        <v>103</v>
      </c>
      <c r="C41" s="15" t="s">
        <v>12</v>
      </c>
      <c r="D41" s="14">
        <f>0.01</f>
        <v>0.01</v>
      </c>
      <c r="E41" s="14">
        <f>1728.2</f>
        <v>1728.2</v>
      </c>
      <c r="F41" s="16">
        <f>E41/50</f>
        <v>34.564</v>
      </c>
    </row>
    <row r="42" spans="1:6" s="17" customFormat="1" ht="15.75" x14ac:dyDescent="0.25">
      <c r="A42" s="7">
        <v>19</v>
      </c>
      <c r="B42" s="15" t="s">
        <v>104</v>
      </c>
      <c r="C42" s="15" t="s">
        <v>105</v>
      </c>
      <c r="D42" s="14">
        <f>1</f>
        <v>1</v>
      </c>
      <c r="E42" s="14">
        <f>5132</f>
        <v>5132</v>
      </c>
      <c r="F42" s="16">
        <f>E42/2</f>
        <v>2566</v>
      </c>
    </row>
    <row r="43" spans="1:6" s="17" customFormat="1" ht="74.25" customHeight="1" x14ac:dyDescent="0.25">
      <c r="A43" s="7">
        <v>20</v>
      </c>
      <c r="B43" s="15" t="s">
        <v>102</v>
      </c>
      <c r="C43" s="15" t="s">
        <v>12</v>
      </c>
      <c r="D43" s="14">
        <f>0.01</f>
        <v>0.01</v>
      </c>
      <c r="E43" s="14">
        <f>1537</f>
        <v>1537</v>
      </c>
      <c r="F43" s="16">
        <f>E43/12</f>
        <v>128.08333333333334</v>
      </c>
    </row>
    <row r="44" spans="1:6" s="17" customFormat="1" ht="47.25" x14ac:dyDescent="0.25">
      <c r="A44" s="7">
        <v>21</v>
      </c>
      <c r="B44" s="15" t="s">
        <v>80</v>
      </c>
      <c r="C44" s="15" t="s">
        <v>11</v>
      </c>
      <c r="D44" s="14">
        <f>0.015</f>
        <v>1.4999999999999999E-2</v>
      </c>
      <c r="E44" s="14">
        <f>4535.8</f>
        <v>4535.8</v>
      </c>
      <c r="F44" s="16">
        <f>E44/0.02</f>
        <v>226790</v>
      </c>
    </row>
    <row r="45" spans="1:6" s="17" customFormat="1" ht="31.5" x14ac:dyDescent="0.25">
      <c r="A45" s="7">
        <v>22</v>
      </c>
      <c r="B45" s="15" t="s">
        <v>83</v>
      </c>
      <c r="C45" s="15" t="s">
        <v>53</v>
      </c>
      <c r="D45" s="14">
        <f>0.02</f>
        <v>0.02</v>
      </c>
      <c r="E45" s="14">
        <f>10346.2</f>
        <v>10346.200000000001</v>
      </c>
      <c r="F45" s="16">
        <f>E45/2</f>
        <v>5173.1000000000004</v>
      </c>
    </row>
    <row r="46" spans="1:6" s="17" customFormat="1" ht="31.5" x14ac:dyDescent="0.25">
      <c r="A46" s="7">
        <v>23</v>
      </c>
      <c r="B46" s="8" t="s">
        <v>67</v>
      </c>
      <c r="C46" s="8" t="s">
        <v>25</v>
      </c>
      <c r="D46" s="14">
        <f>0.01</f>
        <v>0.01</v>
      </c>
      <c r="E46" s="14">
        <f>454.4</f>
        <v>454.4</v>
      </c>
      <c r="F46" s="16">
        <f>E46/1</f>
        <v>454.4</v>
      </c>
    </row>
    <row r="47" spans="1:6" s="17" customFormat="1" ht="31.5" x14ac:dyDescent="0.25">
      <c r="A47" s="7">
        <v>24</v>
      </c>
      <c r="B47" s="15" t="s">
        <v>68</v>
      </c>
      <c r="C47" s="15" t="s">
        <v>69</v>
      </c>
      <c r="D47" s="14">
        <f>0.01</f>
        <v>0.01</v>
      </c>
      <c r="E47" s="14">
        <f>3080.8</f>
        <v>3080.8</v>
      </c>
      <c r="F47" s="16">
        <f>E47/5</f>
        <v>616.16000000000008</v>
      </c>
    </row>
    <row r="48" spans="1:6" s="17" customFormat="1" ht="47.25" x14ac:dyDescent="0.25">
      <c r="A48" s="7">
        <v>25</v>
      </c>
      <c r="B48" s="15" t="s">
        <v>70</v>
      </c>
      <c r="C48" s="15" t="s">
        <v>12</v>
      </c>
      <c r="D48" s="14">
        <f>0.01</f>
        <v>0.01</v>
      </c>
      <c r="E48" s="14">
        <f>205.4</f>
        <v>205.4</v>
      </c>
      <c r="F48" s="16">
        <f>E48/D48</f>
        <v>20540</v>
      </c>
    </row>
    <row r="49" spans="1:6" s="17" customFormat="1" ht="31.5" x14ac:dyDescent="0.25">
      <c r="A49" s="7">
        <v>26</v>
      </c>
      <c r="B49" s="8" t="s">
        <v>99</v>
      </c>
      <c r="C49" s="8" t="s">
        <v>100</v>
      </c>
      <c r="D49" s="14">
        <f>0.02</f>
        <v>0.02</v>
      </c>
      <c r="E49" s="14">
        <f>1209</f>
        <v>1209</v>
      </c>
      <c r="F49" s="16"/>
    </row>
    <row r="50" spans="1:6" s="17" customFormat="1" ht="47.25" x14ac:dyDescent="0.25">
      <c r="A50" s="7">
        <v>27</v>
      </c>
      <c r="B50" s="8" t="s">
        <v>60</v>
      </c>
      <c r="C50" s="8" t="s">
        <v>61</v>
      </c>
      <c r="D50" s="14">
        <f>0.01</f>
        <v>0.01</v>
      </c>
      <c r="E50" s="14">
        <f>1096.8</f>
        <v>1096.8</v>
      </c>
      <c r="F50" s="16">
        <f>E50/6</f>
        <v>182.79999999999998</v>
      </c>
    </row>
    <row r="51" spans="1:6" s="17" customFormat="1" ht="63" x14ac:dyDescent="0.25">
      <c r="A51" s="7">
        <v>28</v>
      </c>
      <c r="B51" s="15" t="s">
        <v>62</v>
      </c>
      <c r="C51" s="15" t="s">
        <v>26</v>
      </c>
      <c r="D51" s="14">
        <f>0.01+0.02</f>
        <v>0.03</v>
      </c>
      <c r="E51" s="14">
        <f>3910.4+3973.8</f>
        <v>7884.2000000000007</v>
      </c>
      <c r="F51" s="16">
        <f>E51/39.6</f>
        <v>199.09595959595961</v>
      </c>
    </row>
    <row r="52" spans="1:6" s="17" customFormat="1" ht="63" x14ac:dyDescent="0.25">
      <c r="A52" s="7">
        <v>29</v>
      </c>
      <c r="B52" s="15" t="s">
        <v>30</v>
      </c>
      <c r="C52" s="15" t="s">
        <v>26</v>
      </c>
      <c r="D52" s="14">
        <f>0.01+0.015</f>
        <v>2.5000000000000001E-2</v>
      </c>
      <c r="E52" s="14">
        <f>1576.8+2762.2</f>
        <v>4339</v>
      </c>
      <c r="F52" s="16">
        <f>E52/53.1</f>
        <v>81.713747645951031</v>
      </c>
    </row>
    <row r="53" spans="1:6" s="1" customFormat="1" ht="63" x14ac:dyDescent="0.25">
      <c r="A53" s="7">
        <v>30</v>
      </c>
      <c r="B53" s="8" t="s">
        <v>87</v>
      </c>
      <c r="C53" s="8" t="s">
        <v>26</v>
      </c>
      <c r="D53" s="7">
        <f>-0.06</f>
        <v>-0.06</v>
      </c>
      <c r="E53" s="7">
        <f>-10134.6</f>
        <v>-10134.6</v>
      </c>
      <c r="F53" s="4"/>
    </row>
    <row r="54" spans="1:6" s="1" customFormat="1" ht="78.75" x14ac:dyDescent="0.25">
      <c r="A54" s="7">
        <v>31</v>
      </c>
      <c r="B54" s="8" t="s">
        <v>49</v>
      </c>
      <c r="C54" s="8" t="s">
        <v>50</v>
      </c>
      <c r="D54" s="7">
        <f>1.546+1.546-1.546</f>
        <v>1.546</v>
      </c>
      <c r="E54" s="7">
        <f>9651.6+9651.6-9651.6</f>
        <v>9651.6</v>
      </c>
      <c r="F54" s="4">
        <f>E54/21</f>
        <v>459.6</v>
      </c>
    </row>
    <row r="55" spans="1:6" s="1" customFormat="1" ht="78.75" x14ac:dyDescent="0.25">
      <c r="A55" s="7">
        <v>32</v>
      </c>
      <c r="B55" s="8" t="s">
        <v>51</v>
      </c>
      <c r="C55" s="8" t="s">
        <v>50</v>
      </c>
      <c r="D55" s="7">
        <f>0.77+0.77-0.77</f>
        <v>0.77</v>
      </c>
      <c r="E55" s="7">
        <f>19894.6+19894.6-19894.6</f>
        <v>19894.599999999999</v>
      </c>
      <c r="F55" s="4">
        <f>E55/1</f>
        <v>19894.599999999999</v>
      </c>
    </row>
    <row r="56" spans="1:6" s="1" customFormat="1" ht="78.75" x14ac:dyDescent="0.25">
      <c r="A56" s="7">
        <v>33</v>
      </c>
      <c r="B56" s="8" t="s">
        <v>88</v>
      </c>
      <c r="C56" s="8" t="s">
        <v>13</v>
      </c>
      <c r="D56" s="7">
        <f>1.546+1.546-1.546</f>
        <v>1.546</v>
      </c>
      <c r="E56" s="7">
        <f>31127.4+31127.4-31127.4</f>
        <v>31127.4</v>
      </c>
      <c r="F56" s="4">
        <f>E56/21</f>
        <v>1482.257142857143</v>
      </c>
    </row>
    <row r="57" spans="1:6" ht="78.75" x14ac:dyDescent="0.25">
      <c r="A57" s="7">
        <v>34</v>
      </c>
      <c r="B57" s="8" t="s">
        <v>72</v>
      </c>
      <c r="C57" s="8" t="s">
        <v>13</v>
      </c>
      <c r="D57" s="7">
        <f>0.013</f>
        <v>1.2999999999999999E-2</v>
      </c>
      <c r="E57" s="7">
        <f>584.4</f>
        <v>584.4</v>
      </c>
      <c r="F57" s="4">
        <f>E57/5.55</f>
        <v>105.29729729729729</v>
      </c>
    </row>
    <row r="58" spans="1:6" s="1" customFormat="1" ht="78.75" x14ac:dyDescent="0.25">
      <c r="A58" s="7">
        <v>35</v>
      </c>
      <c r="B58" s="8" t="s">
        <v>71</v>
      </c>
      <c r="C58" s="8" t="s">
        <v>13</v>
      </c>
      <c r="D58" s="7">
        <f>0.01</f>
        <v>0.01</v>
      </c>
      <c r="E58" s="7">
        <f>1136.4</f>
        <v>1136.4000000000001</v>
      </c>
      <c r="F58" s="4">
        <f>E58/4</f>
        <v>284.10000000000002</v>
      </c>
    </row>
    <row r="59" spans="1:6" s="1" customFormat="1" ht="78.75" x14ac:dyDescent="0.25">
      <c r="A59" s="7">
        <v>36</v>
      </c>
      <c r="B59" s="8" t="s">
        <v>101</v>
      </c>
      <c r="C59" s="8" t="s">
        <v>13</v>
      </c>
      <c r="D59" s="7">
        <f>0.02</f>
        <v>0.02</v>
      </c>
      <c r="E59" s="7">
        <f>642.8</f>
        <v>642.79999999999995</v>
      </c>
      <c r="F59" s="4">
        <f>E59/66.096</f>
        <v>9.7252481239409327</v>
      </c>
    </row>
    <row r="60" spans="1:6" s="1" customFormat="1" ht="63" x14ac:dyDescent="0.25">
      <c r="A60" s="7">
        <v>37</v>
      </c>
      <c r="B60" s="8" t="s">
        <v>87</v>
      </c>
      <c r="C60" s="8" t="s">
        <v>26</v>
      </c>
      <c r="D60" s="7">
        <f>0.06+0.06</f>
        <v>0.12</v>
      </c>
      <c r="E60" s="7">
        <f>10134.6+10134.6</f>
        <v>20269.2</v>
      </c>
      <c r="F60" s="4">
        <f>E60/1.5</f>
        <v>13512.800000000001</v>
      </c>
    </row>
    <row r="61" spans="1:6" s="1" customFormat="1" ht="78.75" x14ac:dyDescent="0.25">
      <c r="A61" s="7">
        <v>38</v>
      </c>
      <c r="B61" s="8" t="s">
        <v>45</v>
      </c>
      <c r="C61" s="8" t="s">
        <v>13</v>
      </c>
      <c r="D61" s="7">
        <f>0.225</f>
        <v>0.22500000000000001</v>
      </c>
      <c r="E61" s="7">
        <f>2855</f>
        <v>2855</v>
      </c>
      <c r="F61" s="4">
        <f>E61/2</f>
        <v>1427.5</v>
      </c>
    </row>
    <row r="62" spans="1:6" s="1" customFormat="1" ht="78.75" x14ac:dyDescent="0.25">
      <c r="A62" s="7">
        <v>39</v>
      </c>
      <c r="B62" s="8" t="s">
        <v>73</v>
      </c>
      <c r="C62" s="8" t="s">
        <v>13</v>
      </c>
      <c r="D62" s="7">
        <v>0.02</v>
      </c>
      <c r="E62" s="7">
        <f>194.6</f>
        <v>194.6</v>
      </c>
      <c r="F62" s="4">
        <f>E62/21</f>
        <v>9.2666666666666657</v>
      </c>
    </row>
    <row r="63" spans="1:6" s="1" customFormat="1" ht="15.75" x14ac:dyDescent="0.25">
      <c r="A63" s="7">
        <v>40</v>
      </c>
      <c r="B63" s="8" t="s">
        <v>85</v>
      </c>
      <c r="C63" s="8" t="s">
        <v>86</v>
      </c>
      <c r="D63" s="7">
        <f>0.007</f>
        <v>7.0000000000000001E-3</v>
      </c>
      <c r="E63" s="7">
        <f>571.8</f>
        <v>571.79999999999995</v>
      </c>
      <c r="F63" s="4">
        <f>E63/1</f>
        <v>571.79999999999995</v>
      </c>
    </row>
    <row r="64" spans="1:6" s="1" customFormat="1" ht="31.5" x14ac:dyDescent="0.25">
      <c r="A64" s="7">
        <v>41</v>
      </c>
      <c r="B64" s="8" t="s">
        <v>84</v>
      </c>
      <c r="C64" s="8" t="s">
        <v>53</v>
      </c>
      <c r="D64" s="7">
        <f>0.01</f>
        <v>0.01</v>
      </c>
      <c r="E64" s="7">
        <f>4565.8</f>
        <v>4565.8</v>
      </c>
      <c r="F64" s="4">
        <f>E64/6</f>
        <v>760.9666666666667</v>
      </c>
    </row>
    <row r="65" spans="1:10" s="1" customFormat="1" ht="31.5" x14ac:dyDescent="0.25">
      <c r="A65" s="7">
        <v>42</v>
      </c>
      <c r="B65" s="8" t="s">
        <v>76</v>
      </c>
      <c r="C65" s="8" t="s">
        <v>53</v>
      </c>
      <c r="D65" s="7">
        <v>0.18</v>
      </c>
      <c r="E65" s="7">
        <f>17937.2</f>
        <v>17937.2</v>
      </c>
      <c r="F65" s="4">
        <f>E65/2.71</f>
        <v>6618.8929889298897</v>
      </c>
    </row>
    <row r="66" spans="1:10" s="1" customFormat="1" ht="15.75" x14ac:dyDescent="0.25">
      <c r="A66" s="7">
        <v>43</v>
      </c>
      <c r="B66" s="8" t="s">
        <v>44</v>
      </c>
      <c r="C66" s="8" t="s">
        <v>28</v>
      </c>
      <c r="D66" s="7">
        <f>0.04</f>
        <v>0.04</v>
      </c>
      <c r="E66" s="7">
        <f>3608.4</f>
        <v>3608.4</v>
      </c>
      <c r="F66" s="4">
        <f>E66/0.4</f>
        <v>9021</v>
      </c>
    </row>
    <row r="67" spans="1:10" s="1" customFormat="1" ht="47.25" x14ac:dyDescent="0.25">
      <c r="A67" s="7">
        <v>44</v>
      </c>
      <c r="B67" s="8" t="s">
        <v>64</v>
      </c>
      <c r="C67" s="8" t="s">
        <v>65</v>
      </c>
      <c r="D67" s="7">
        <v>40</v>
      </c>
      <c r="E67" s="7">
        <v>26000</v>
      </c>
      <c r="F67" s="4"/>
    </row>
    <row r="68" spans="1:10" s="1" customFormat="1" ht="31.5" x14ac:dyDescent="0.25">
      <c r="A68" s="7">
        <v>45</v>
      </c>
      <c r="B68" s="8" t="s">
        <v>42</v>
      </c>
      <c r="C68" s="8" t="s">
        <v>43</v>
      </c>
      <c r="D68" s="7">
        <f>120+150+10+30+35+30</f>
        <v>375</v>
      </c>
      <c r="E68" s="7">
        <f>4000+5000+333+1500+1750+1250</f>
        <v>13833</v>
      </c>
      <c r="F68" s="4">
        <f>E68/D68</f>
        <v>36.887999999999998</v>
      </c>
    </row>
    <row r="69" spans="1:10" s="1" customFormat="1" ht="15.75" x14ac:dyDescent="0.25">
      <c r="A69" s="7"/>
      <c r="B69" s="8"/>
      <c r="C69" s="8"/>
      <c r="D69" s="7"/>
      <c r="E69" s="9">
        <f>SUM(E24:E68)</f>
        <v>373997.80000000005</v>
      </c>
      <c r="F69" s="4"/>
    </row>
    <row r="70" spans="1:10" ht="15.75" x14ac:dyDescent="0.25">
      <c r="A70" s="7"/>
      <c r="B70" s="8" t="s">
        <v>8</v>
      </c>
      <c r="C70" s="7"/>
      <c r="D70" s="7"/>
      <c r="E70" s="9">
        <f>E22+E69</f>
        <v>495958.4</v>
      </c>
      <c r="F70" s="4"/>
    </row>
    <row r="71" spans="1:10" ht="15.75" x14ac:dyDescent="0.25">
      <c r="A71" s="7"/>
      <c r="B71" s="8"/>
      <c r="C71" s="7"/>
      <c r="D71" s="7"/>
      <c r="E71" s="7"/>
      <c r="F71" s="4"/>
    </row>
    <row r="72" spans="1:10" ht="15.75" x14ac:dyDescent="0.25">
      <c r="A72" s="10"/>
      <c r="B72" s="10"/>
      <c r="C72" s="10"/>
      <c r="D72" s="10"/>
      <c r="E72" s="10"/>
      <c r="F72" s="4"/>
      <c r="J72" t="s">
        <v>29</v>
      </c>
    </row>
    <row r="73" spans="1:10" ht="15.75" x14ac:dyDescent="0.25">
      <c r="A73" s="10"/>
      <c r="B73" s="10" t="s">
        <v>15</v>
      </c>
      <c r="C73" s="10" t="s">
        <v>32</v>
      </c>
      <c r="D73" s="10"/>
      <c r="E73" s="10"/>
      <c r="F73" s="1"/>
    </row>
    <row r="74" spans="1:10" x14ac:dyDescent="0.25">
      <c r="A74" s="2"/>
      <c r="B74" s="2"/>
      <c r="C74" s="2"/>
      <c r="D74" s="2"/>
      <c r="E74" s="2"/>
      <c r="F74" s="1"/>
    </row>
    <row r="75" spans="1:10" x14ac:dyDescent="0.25">
      <c r="A75" s="2"/>
      <c r="B75" s="2"/>
      <c r="C75" s="2"/>
      <c r="D75" s="2"/>
      <c r="E75" s="2"/>
      <c r="F75" s="1"/>
    </row>
    <row r="76" spans="1:10" x14ac:dyDescent="0.25">
      <c r="A76" s="2"/>
      <c r="B76" s="2" t="s">
        <v>16</v>
      </c>
      <c r="C76" s="2"/>
      <c r="D76" s="18"/>
      <c r="E76" s="2" t="s">
        <v>40</v>
      </c>
      <c r="F76" s="13"/>
      <c r="G76" s="13"/>
    </row>
    <row r="77" spans="1:10" x14ac:dyDescent="0.25">
      <c r="A77" s="2"/>
      <c r="B77" s="2"/>
      <c r="C77" s="2" t="s">
        <v>33</v>
      </c>
      <c r="D77" s="18">
        <f>4582.4+3544+5929+4141+2711.4+68038.2+7588+4371.6+6273.4+6024.4+5818.4+2931.8</f>
        <v>121953.59999999999</v>
      </c>
      <c r="E77" s="2"/>
      <c r="F77" s="13"/>
      <c r="G77" s="13"/>
    </row>
    <row r="78" spans="1:10" x14ac:dyDescent="0.25">
      <c r="A78" s="2"/>
      <c r="B78" s="2"/>
      <c r="C78" s="2" t="s">
        <v>34</v>
      </c>
      <c r="D78" s="2">
        <f>37349+5000+27116+21358.4+12396.6+17937.2+150535.2+70808.2-66447.4+0+42219.6+55725</f>
        <v>373997.80000000005</v>
      </c>
      <c r="E78" s="2"/>
      <c r="F78" s="13"/>
      <c r="G78" s="13"/>
    </row>
    <row r="79" spans="1:10" x14ac:dyDescent="0.25">
      <c r="A79" s="2"/>
      <c r="B79" s="2"/>
      <c r="C79" s="2"/>
      <c r="D79" s="18">
        <f>D77+D78</f>
        <v>495951.4</v>
      </c>
      <c r="E79" s="2"/>
      <c r="F79" s="13"/>
      <c r="G79" s="13"/>
    </row>
    <row r="80" spans="1:10" x14ac:dyDescent="0.25">
      <c r="A80" s="2"/>
      <c r="B80" s="2"/>
      <c r="C80" s="2" t="s">
        <v>35</v>
      </c>
      <c r="D80" s="18">
        <f>41931.4+8544+33045+25499.4+15108+85975.4+158123.2+75179.8-60174+6024.4+48038+58663.8</f>
        <v>495958.4</v>
      </c>
      <c r="E80" s="18"/>
    </row>
    <row r="81" spans="1:6" x14ac:dyDescent="0.25">
      <c r="A81" s="2"/>
      <c r="B81" s="2"/>
      <c r="C81" s="2"/>
      <c r="D81" s="2"/>
      <c r="E81" s="2"/>
    </row>
    <row r="82" spans="1:6" x14ac:dyDescent="0.25">
      <c r="A82" s="2"/>
      <c r="B82" s="2"/>
      <c r="C82" s="2"/>
      <c r="D82" s="18"/>
      <c r="E82" s="18"/>
      <c r="F82" t="s">
        <v>27</v>
      </c>
    </row>
    <row r="83" spans="1:6" x14ac:dyDescent="0.25">
      <c r="A83" s="2"/>
      <c r="B83" s="2"/>
      <c r="C83" s="2"/>
      <c r="D83" s="2"/>
      <c r="E83" s="2"/>
    </row>
    <row r="84" spans="1:6" x14ac:dyDescent="0.25">
      <c r="A84" s="2"/>
      <c r="B84" s="2"/>
      <c r="C84" s="2"/>
      <c r="D84" s="2"/>
      <c r="E84" s="2"/>
    </row>
    <row r="85" spans="1:6" x14ac:dyDescent="0.25">
      <c r="A85" s="2"/>
      <c r="B85" s="2"/>
      <c r="C85" s="2"/>
      <c r="D85" s="2"/>
      <c r="E85" s="2"/>
    </row>
    <row r="86" spans="1:6" x14ac:dyDescent="0.25">
      <c r="A86" s="2"/>
      <c r="B86" s="2"/>
      <c r="C86" s="2"/>
      <c r="D86" s="2"/>
      <c r="E86" s="2"/>
    </row>
    <row r="87" spans="1:6" x14ac:dyDescent="0.25">
      <c r="A87" s="2"/>
      <c r="B87" s="2"/>
      <c r="C87" s="2"/>
      <c r="D87" s="2"/>
      <c r="E87" s="2"/>
    </row>
    <row r="88" spans="1:6" x14ac:dyDescent="0.25">
      <c r="A88" s="2"/>
      <c r="B88" s="2"/>
      <c r="C88" s="2"/>
      <c r="D88" s="2"/>
      <c r="E88" s="2"/>
    </row>
    <row r="89" spans="1:6" x14ac:dyDescent="0.25">
      <c r="A89" s="2"/>
      <c r="B89" s="2"/>
      <c r="C89" s="2"/>
      <c r="D89" s="2"/>
      <c r="E89" s="2"/>
    </row>
    <row r="90" spans="1:6" x14ac:dyDescent="0.25">
      <c r="A90" s="2"/>
      <c r="B90" s="2"/>
      <c r="C90" s="2"/>
      <c r="D90" s="2"/>
      <c r="E90" s="2"/>
    </row>
    <row r="91" spans="1:6" x14ac:dyDescent="0.25">
      <c r="A91" s="2"/>
      <c r="B91" s="2"/>
      <c r="C91" s="2"/>
      <c r="D91" s="2"/>
      <c r="E91" s="2"/>
    </row>
    <row r="1227" spans="7:7" x14ac:dyDescent="0.25">
      <c r="G1227" t="s">
        <v>31</v>
      </c>
    </row>
    <row r="1229" spans="7:7" x14ac:dyDescent="0.25">
      <c r="G1229" t="s">
        <v>27</v>
      </c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2023-01-24T05:19:43Z</cp:lastPrinted>
  <dcterms:created xsi:type="dcterms:W3CDTF">2016-09-29T06:37:31Z</dcterms:created>
  <dcterms:modified xsi:type="dcterms:W3CDTF">2023-01-24T05:20:16Z</dcterms:modified>
</cp:coreProperties>
</file>