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5" i="1" l="1"/>
  <c r="D65" i="1"/>
  <c r="E64" i="1"/>
  <c r="D64" i="1"/>
  <c r="E32" i="1"/>
  <c r="E33" i="1"/>
  <c r="D33" i="1"/>
  <c r="E29" i="1"/>
  <c r="D29" i="1"/>
  <c r="E14" i="1"/>
  <c r="E13" i="1"/>
  <c r="D13" i="1"/>
  <c r="E10" i="1"/>
  <c r="D10" i="1"/>
  <c r="E24" i="1"/>
  <c r="D24" i="1"/>
  <c r="E25" i="1"/>
  <c r="D25" i="1"/>
  <c r="E26" i="1"/>
  <c r="D26" i="1"/>
  <c r="E21" i="1"/>
  <c r="D77" i="1"/>
  <c r="D75" i="1"/>
  <c r="D74" i="1"/>
  <c r="E43" i="1" l="1"/>
  <c r="D43" i="1"/>
  <c r="E27" i="1"/>
  <c r="D27" i="1"/>
  <c r="E17" i="1"/>
  <c r="D17" i="1"/>
  <c r="E18" i="1"/>
  <c r="D18" i="1"/>
  <c r="E50" i="1" l="1"/>
  <c r="D50" i="1"/>
  <c r="E51" i="1"/>
  <c r="D51" i="1"/>
  <c r="E42" i="1"/>
  <c r="D42" i="1"/>
  <c r="E41" i="1"/>
  <c r="D41" i="1"/>
  <c r="E12" i="1"/>
  <c r="D12" i="1"/>
  <c r="E20" i="1"/>
  <c r="D20" i="1"/>
  <c r="E53" i="1" l="1"/>
  <c r="D53" i="1"/>
  <c r="E46" i="1"/>
  <c r="D46" i="1"/>
  <c r="E60" i="1"/>
  <c r="D60" i="1"/>
  <c r="E54" i="1"/>
  <c r="D54" i="1"/>
  <c r="E57" i="1"/>
  <c r="D57" i="1"/>
  <c r="E37" i="1"/>
  <c r="D37" i="1"/>
  <c r="E36" i="1"/>
  <c r="D36" i="1"/>
  <c r="E11" i="1"/>
  <c r="D11" i="1"/>
  <c r="E59" i="1" l="1"/>
  <c r="D59" i="1"/>
  <c r="E58" i="1"/>
  <c r="D58" i="1"/>
  <c r="E40" i="1"/>
  <c r="E16" i="1"/>
  <c r="E15" i="1"/>
  <c r="E49" i="1" l="1"/>
  <c r="D49" i="1"/>
  <c r="E56" i="1"/>
  <c r="D56" i="1"/>
  <c r="E35" i="1"/>
  <c r="D35" i="1"/>
  <c r="E39" i="1"/>
  <c r="D39" i="1"/>
  <c r="E38" i="1"/>
  <c r="D38" i="1"/>
  <c r="E23" i="1" l="1"/>
  <c r="D23" i="1"/>
  <c r="D22" i="1"/>
  <c r="E22" i="1"/>
  <c r="E19" i="1"/>
  <c r="D16" i="1"/>
  <c r="D15" i="1"/>
  <c r="E28" i="1" l="1"/>
  <c r="E30" i="1" s="1"/>
  <c r="D28" i="1"/>
  <c r="E48" i="1"/>
  <c r="D48" i="1"/>
  <c r="E47" i="1"/>
  <c r="D47" i="1"/>
  <c r="E52" i="1"/>
  <c r="D52" i="1"/>
  <c r="E55" i="1"/>
  <c r="D55" i="1"/>
  <c r="E63" i="1"/>
  <c r="D63" i="1"/>
  <c r="E62" i="1"/>
  <c r="E34" i="1"/>
  <c r="D34" i="1"/>
  <c r="E44" i="1"/>
  <c r="D44" i="1"/>
  <c r="E45" i="1"/>
  <c r="D45" i="1"/>
  <c r="D14" i="1"/>
  <c r="D21" i="1"/>
  <c r="E66" i="1" l="1"/>
  <c r="F65" i="1"/>
  <c r="F63" i="1"/>
  <c r="F62" i="1"/>
  <c r="F61" i="1"/>
  <c r="F60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35" i="1"/>
  <c r="F34" i="1"/>
  <c r="F33" i="1"/>
  <c r="D76" i="1" l="1"/>
  <c r="E67" i="1" l="1"/>
</calcChain>
</file>

<file path=xl/sharedStrings.xml><?xml version="1.0" encoding="utf-8"?>
<sst xmlns="http://schemas.openxmlformats.org/spreadsheetml/2006/main" count="133" uniqueCount="104">
  <si>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</si>
  <si>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</si>
  <si>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</si>
  <si>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</si>
  <si>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</si>
  <si>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</si>
  <si>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</si>
  <si>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</si>
  <si>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</si>
  <si>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</si>
  <si>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</si>
  <si>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</si>
  <si>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</si>
  <si>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</si>
  <si>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</si>
  <si>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</si>
  <si>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</si>
  <si>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</si>
  <si>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</si>
  <si>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</si>
  <si>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</si>
  <si>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</si>
  <si>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</si>
  <si>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</si>
  <si>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</si>
  <si>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</si>
  <si>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Очистка канализационной сети внутренней</t>
  </si>
  <si>
    <t>100шт приб.</t>
  </si>
  <si>
    <t>Смена трубопроводов из полиэтиленовых канализационных труб диам.100мм</t>
  </si>
  <si>
    <t>100м трубопровода с фасонными частями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</si>
  <si>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</si>
  <si>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</si>
  <si>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</si>
  <si>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</si>
  <si>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</si>
  <si>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</si>
  <si>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</si>
  <si>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</si>
  <si>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улице Шмидта</t>
  </si>
  <si>
    <t xml:space="preserve">  </t>
  </si>
  <si>
    <t>Механизированная уборка снега на придомовой территории</t>
  </si>
  <si>
    <t>мин</t>
  </si>
  <si>
    <t>Смена дверных приборов:ручки-скобы</t>
  </si>
  <si>
    <t>Гидравлическое испытание трубопроводов систем отопления диам.до 100мм</t>
  </si>
  <si>
    <t>Смена ламп люминесцентных</t>
  </si>
  <si>
    <t>100сгонов</t>
  </si>
  <si>
    <t>Установка манометров</t>
  </si>
  <si>
    <t>1 компл.</t>
  </si>
  <si>
    <t>100шт приборов</t>
  </si>
  <si>
    <t>1шт</t>
  </si>
  <si>
    <t>Установка хомутов диаметром трубопроводов до 100мм</t>
  </si>
  <si>
    <t>Услуги экскаватора-погрузчика,самосвала,погрузка и вывоз снега с придомовой территории</t>
  </si>
  <si>
    <t>м3</t>
  </si>
  <si>
    <t>100приборов</t>
  </si>
  <si>
    <t>10фильт.</t>
  </si>
  <si>
    <t>имущества МКД, выполненных за 2022  года на жилом доме № 9</t>
  </si>
  <si>
    <t>Смена сгонов у трубопроводов  диам32мм</t>
  </si>
  <si>
    <t>Установка насосов погружных</t>
  </si>
  <si>
    <t>Смена стекол толщиной 4-6 мм</t>
  </si>
  <si>
    <t>100м2 остекления</t>
  </si>
  <si>
    <t>Водоотлив из подвала электрическими насосами</t>
  </si>
  <si>
    <t>100м3 воды</t>
  </si>
  <si>
    <t>Смена дверных приборов:пружины</t>
  </si>
  <si>
    <t>Смена кранов на шаровые краны диам.15,25,32 мм</t>
  </si>
  <si>
    <t>Ремонт ворот</t>
  </si>
  <si>
    <t>услуга</t>
  </si>
  <si>
    <t>Смена поликарбоната</t>
  </si>
  <si>
    <t>Усиление сварных швов(наплавка)ремонт ворот</t>
  </si>
  <si>
    <t>1м шва</t>
  </si>
  <si>
    <t>Окраска перхловиниловыми красками по подготовленной поверхности фасадов простых за 1 раз</t>
  </si>
  <si>
    <t>Простая масляная окраска ранее окрашенных бордюров  без подготовки с расчисткой старой краски до 10%</t>
  </si>
  <si>
    <t>Прочистка фильтров диаметром 65мм</t>
  </si>
  <si>
    <t>Прочистка фильтров диаметром 125мм</t>
  </si>
  <si>
    <t>Прочистка фильтров диаметром 150мм</t>
  </si>
  <si>
    <t>Прочистка фильтров диаметром 40мм</t>
  </si>
  <si>
    <t>Очистка канализационной сети дворовой</t>
  </si>
  <si>
    <t>Очистка внутренней поверхности теплообменного аппарата площадью нагрева 12м2</t>
  </si>
  <si>
    <t>1шт.</t>
  </si>
  <si>
    <t>Гидравлическое испытание аппарата</t>
  </si>
  <si>
    <t>Шланг поливочный</t>
  </si>
  <si>
    <t>Простая масляная окраска ранее окрашенных фасадов без подготовки с расчисткой старой краски до 10%</t>
  </si>
  <si>
    <t>Смена ламп накаливания</t>
  </si>
  <si>
    <t>Замена торцевых уплотнителей насоса и подшипника</t>
  </si>
  <si>
    <t>Ремонт покрытий из линолеума</t>
  </si>
  <si>
    <t>100м2</t>
  </si>
  <si>
    <t>Укладка металлического накладного профиля(порога)</t>
  </si>
  <si>
    <t>100м профиля</t>
  </si>
  <si>
    <t>Проверка на прогрев отопительных приборов с регулировкой</t>
  </si>
  <si>
    <t>100приб.</t>
  </si>
  <si>
    <t>Демонтаж кранов воздушных</t>
  </si>
  <si>
    <t>Установка кранов воздушных</t>
  </si>
  <si>
    <t>Врезка в действующие внутренние сети трубопроводов отопления и водоснабжения диам.25мм</t>
  </si>
  <si>
    <t>1 врезка</t>
  </si>
  <si>
    <t>Смена водомеров</t>
  </si>
  <si>
    <t>Смена задвижек диаметром 65мм на шаровые краны</t>
  </si>
  <si>
    <t>Регулировка доводчика</t>
  </si>
  <si>
    <t>Окраска водно-дисперсионными акриловыми  составами улучшенная по штукатурке стен</t>
  </si>
  <si>
    <t>Полив зеленых насаждений из шланга поливочного водопровода</t>
  </si>
  <si>
    <t>1м3 выливаемой воды</t>
  </si>
  <si>
    <t>Ремонт и восстановление уплотнения стыков прокладками ПРП в 1 ряд в стенах насухо</t>
  </si>
  <si>
    <t>100м восстановленной герметизации стыков</t>
  </si>
  <si>
    <t>Строительный пылесос</t>
  </si>
  <si>
    <t>Ремонт силового предохранительного шкафа</t>
  </si>
  <si>
    <t>Ремонт платы ЦПУ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</si>
</sst>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6"/>
  <sheetViews>
    <sheetView tabSelected="1" zoomScale="130" zoomScaleNormal="130" workbookViewId="0">
      <selection activeCell="E73" sqref="A1:E7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1.28515625" customWidth="1"/>
    <col min="5" max="5" width="16.7109375" customWidth="1"/>
  </cols>
  <sheetData>
    <row r="1" spans="1:7" ht="15.75" x14ac:dyDescent="0.25">
      <c r="A1" s="4"/>
      <c r="B1" s="4"/>
      <c r="C1" s="4"/>
      <c r="D1" s="4"/>
      <c r="E1" s="4"/>
      <c r="F1" s="1"/>
    </row>
    <row r="2" spans="1:7" ht="15.75" x14ac:dyDescent="0.25">
      <c r="A2" s="4"/>
      <c r="B2" s="3" t="s">
        <v>0</v>
      </c>
      <c r="C2" s="3"/>
      <c r="D2" s="4"/>
      <c r="E2" s="4"/>
      <c r="F2" s="1"/>
    </row>
    <row r="3" spans="1:7" ht="15.75" x14ac:dyDescent="0.25">
      <c r="A3" s="4"/>
      <c r="B3" s="3" t="s">
        <v>17</v>
      </c>
      <c r="C3" s="3"/>
      <c r="D3" s="3"/>
      <c r="E3" s="3"/>
      <c r="F3" s="1"/>
    </row>
    <row r="4" spans="1:7" ht="15.75" x14ac:dyDescent="0.25">
      <c r="A4" s="4"/>
      <c r="B4" s="3" t="s">
        <v>55</v>
      </c>
      <c r="C4" s="3"/>
      <c r="D4" s="3"/>
      <c r="E4" s="3"/>
      <c r="F4" s="1"/>
    </row>
    <row r="5" spans="1:7" ht="15.75" x14ac:dyDescent="0.25">
      <c r="A5" s="4"/>
      <c r="B5" s="3" t="s">
        <v>38</v>
      </c>
      <c r="C5" s="3"/>
      <c r="D5" s="3"/>
      <c r="E5" s="3"/>
      <c r="F5" s="1"/>
    </row>
    <row r="6" spans="1:7" ht="15.75" x14ac:dyDescent="0.25">
      <c r="A6" s="4"/>
      <c r="B6" s="4"/>
      <c r="C6" s="4"/>
      <c r="D6" s="4"/>
      <c r="E6" s="4"/>
      <c r="F6" s="1"/>
    </row>
    <row r="7" spans="1:7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7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7" s="1" customFormat="1" ht="15.75" x14ac:dyDescent="0.25">
      <c r="A9" s="6"/>
      <c r="B9" s="11" t="s">
        <v>9</v>
      </c>
      <c r="C9" s="6"/>
      <c r="D9" s="6"/>
      <c r="E9" s="6"/>
      <c r="F9" s="4"/>
    </row>
    <row r="10" spans="1:7" ht="15.75" x14ac:dyDescent="0.25">
      <c r="A10" s="7">
        <v>1</v>
      </c>
      <c r="B10" s="8" t="s">
        <v>37</v>
      </c>
      <c r="C10" s="8" t="s">
        <v>12</v>
      </c>
      <c r="D10" s="7">
        <f>0.15+0.14+0.22+0.12+0.14+0.22+0.23+0.22+0.15</f>
        <v>1.5899999999999999</v>
      </c>
      <c r="E10" s="7">
        <f>2367.2+3160+5041.8+3983.6+4732.6+7389.8+7817.4+5891.4+3501.6</f>
        <v>43885.4</v>
      </c>
      <c r="F10" s="4"/>
    </row>
    <row r="11" spans="1:7" s="1" customFormat="1" ht="15.75" x14ac:dyDescent="0.25">
      <c r="A11" s="7">
        <v>2</v>
      </c>
      <c r="B11" s="8" t="s">
        <v>81</v>
      </c>
      <c r="C11" s="8" t="s">
        <v>12</v>
      </c>
      <c r="D11" s="7">
        <f>0.12+0.15</f>
        <v>0.27</v>
      </c>
      <c r="E11" s="7">
        <f>778.2+5038.4</f>
        <v>5816.5999999999995</v>
      </c>
      <c r="F11" s="4"/>
    </row>
    <row r="12" spans="1:7" s="1" customFormat="1" ht="15.75" x14ac:dyDescent="0.25">
      <c r="A12" s="7">
        <v>3</v>
      </c>
      <c r="B12" s="8" t="s">
        <v>44</v>
      </c>
      <c r="C12" s="8" t="s">
        <v>12</v>
      </c>
      <c r="D12" s="7">
        <f>0.1+0.08+0.06+0.08</f>
        <v>0.32</v>
      </c>
      <c r="E12" s="7">
        <f>1439+1150.4+909+1275.6</f>
        <v>4774</v>
      </c>
      <c r="F12" s="4"/>
    </row>
    <row r="13" spans="1:7" s="1" customFormat="1" ht="15.75" x14ac:dyDescent="0.25">
      <c r="A13" s="7">
        <v>4</v>
      </c>
      <c r="B13" s="8" t="s">
        <v>102</v>
      </c>
      <c r="C13" s="8" t="s">
        <v>12</v>
      </c>
      <c r="D13" s="7">
        <f>0.01</f>
        <v>0.01</v>
      </c>
      <c r="E13" s="7">
        <f>6027.2</f>
        <v>6027.2</v>
      </c>
      <c r="F13" s="4"/>
    </row>
    <row r="14" spans="1:7" s="1" customFormat="1" ht="47.25" x14ac:dyDescent="0.25">
      <c r="A14" s="7">
        <v>5</v>
      </c>
      <c r="B14" s="8" t="s">
        <v>22</v>
      </c>
      <c r="C14" s="8" t="s">
        <v>23</v>
      </c>
      <c r="D14" s="7">
        <f>0.56</f>
        <v>0.56000000000000005</v>
      </c>
      <c r="E14" s="7">
        <f>1848.6+1848.6+1848.6+1848.6+1990+1990+1990+2127.6+2127.6+2127.6</f>
        <v>19747.199999999997</v>
      </c>
      <c r="F14" s="4"/>
    </row>
    <row r="15" spans="1:7" ht="47.25" x14ac:dyDescent="0.25">
      <c r="A15" s="7">
        <v>6</v>
      </c>
      <c r="B15" s="8" t="s">
        <v>14</v>
      </c>
      <c r="C15" s="8" t="s">
        <v>11</v>
      </c>
      <c r="D15" s="7">
        <f>37.07+37.07</f>
        <v>74.14</v>
      </c>
      <c r="E15" s="7">
        <f>255999.6+274343-274343</f>
        <v>255999.59999999998</v>
      </c>
      <c r="F15" s="4"/>
      <c r="G15">
        <v>0</v>
      </c>
    </row>
    <row r="16" spans="1:7" s="1" customFormat="1" ht="47.25" x14ac:dyDescent="0.25">
      <c r="A16" s="7">
        <v>7</v>
      </c>
      <c r="B16" s="8" t="s">
        <v>43</v>
      </c>
      <c r="C16" s="8" t="s">
        <v>11</v>
      </c>
      <c r="D16" s="7">
        <f>5.14+5.14</f>
        <v>10.28</v>
      </c>
      <c r="E16" s="7">
        <f>35962.4+38514.6-38514.6</f>
        <v>35962.400000000001</v>
      </c>
      <c r="F16" s="4"/>
    </row>
    <row r="17" spans="1:6" s="1" customFormat="1" ht="31.5" x14ac:dyDescent="0.25">
      <c r="A17" s="7">
        <v>8</v>
      </c>
      <c r="B17" s="8" t="s">
        <v>50</v>
      </c>
      <c r="C17" s="8" t="s">
        <v>12</v>
      </c>
      <c r="D17" s="7">
        <f>0.01+0.01+0.01</f>
        <v>0.03</v>
      </c>
      <c r="E17" s="7">
        <f>1160.4+1160.4+1256.4</f>
        <v>3577.2000000000003</v>
      </c>
      <c r="F17" s="4"/>
    </row>
    <row r="18" spans="1:6" s="1" customFormat="1" ht="15.75" x14ac:dyDescent="0.25">
      <c r="A18" s="7">
        <v>9</v>
      </c>
      <c r="B18" s="8" t="s">
        <v>71</v>
      </c>
      <c r="C18" s="8" t="s">
        <v>54</v>
      </c>
      <c r="D18" s="7">
        <f>0.1+0.2+0.3</f>
        <v>0.60000000000000009</v>
      </c>
      <c r="E18" s="7">
        <f>2943.6+3143+5102.8</f>
        <v>11189.400000000001</v>
      </c>
      <c r="F18" s="4"/>
    </row>
    <row r="19" spans="1:6" s="1" customFormat="1" ht="15.75" x14ac:dyDescent="0.25">
      <c r="A19" s="7">
        <v>10</v>
      </c>
      <c r="B19" s="8" t="s">
        <v>72</v>
      </c>
      <c r="C19" s="8" t="s">
        <v>54</v>
      </c>
      <c r="D19" s="7">
        <v>0.2</v>
      </c>
      <c r="E19" s="7">
        <f>27577.2</f>
        <v>27577.200000000001</v>
      </c>
      <c r="F19" s="4"/>
    </row>
    <row r="20" spans="1:6" s="1" customFormat="1" ht="31.5" x14ac:dyDescent="0.25">
      <c r="A20" s="7">
        <v>11</v>
      </c>
      <c r="B20" s="8" t="s">
        <v>87</v>
      </c>
      <c r="C20" s="8" t="s">
        <v>88</v>
      </c>
      <c r="D20" s="7">
        <f>0.04+0.06</f>
        <v>0.1</v>
      </c>
      <c r="E20" s="7">
        <f>528.8+849.4</f>
        <v>1378.1999999999998</v>
      </c>
      <c r="F20" s="4"/>
    </row>
    <row r="21" spans="1:6" s="1" customFormat="1" ht="78.75" x14ac:dyDescent="0.25">
      <c r="A21" s="7">
        <v>12</v>
      </c>
      <c r="B21" s="8" t="s">
        <v>18</v>
      </c>
      <c r="C21" s="8" t="s">
        <v>19</v>
      </c>
      <c r="D21" s="7">
        <f>4.1542</f>
        <v>4.1542000000000003</v>
      </c>
      <c r="E21" s="7">
        <f>14650.4+14650.4+14650.4+14650.4+15760.6+15760.6+15760.6+16866.2+16866.2+16866.2</f>
        <v>156482.00000000003</v>
      </c>
      <c r="F21" s="4"/>
    </row>
    <row r="22" spans="1:6" s="1" customFormat="1" ht="15.75" x14ac:dyDescent="0.25">
      <c r="A22" s="7">
        <v>13</v>
      </c>
      <c r="B22" s="8" t="s">
        <v>73</v>
      </c>
      <c r="C22" s="8" t="s">
        <v>54</v>
      </c>
      <c r="D22" s="7">
        <f>0.2</f>
        <v>0.2</v>
      </c>
      <c r="E22" s="7">
        <f>38134</f>
        <v>38134</v>
      </c>
      <c r="F22" s="4"/>
    </row>
    <row r="23" spans="1:6" s="1" customFormat="1" ht="15.75" x14ac:dyDescent="0.25">
      <c r="A23" s="7">
        <v>14</v>
      </c>
      <c r="B23" s="8" t="s">
        <v>74</v>
      </c>
      <c r="C23" s="8" t="s">
        <v>54</v>
      </c>
      <c r="D23" s="7">
        <f>0.1</f>
        <v>0.1</v>
      </c>
      <c r="E23" s="7">
        <f>3036</f>
        <v>3036</v>
      </c>
      <c r="F23" s="4"/>
    </row>
    <row r="24" spans="1:6" s="1" customFormat="1" ht="31.5" x14ac:dyDescent="0.25">
      <c r="A24" s="7">
        <v>15</v>
      </c>
      <c r="B24" s="8" t="s">
        <v>20</v>
      </c>
      <c r="C24" s="8" t="s">
        <v>21</v>
      </c>
      <c r="D24" s="7">
        <f>0.05+0.06+0.05+0.04+0.02+0.15+0.12+0.06+0.06</f>
        <v>0.6100000000000001</v>
      </c>
      <c r="E24" s="7">
        <f>2645.6+3173+2645.6+2274.6+1137.2+8535.8+7307.6+3655+3655</f>
        <v>35029.4</v>
      </c>
      <c r="F24" s="4"/>
    </row>
    <row r="25" spans="1:6" s="1" customFormat="1" ht="31.5" x14ac:dyDescent="0.25">
      <c r="A25" s="7">
        <v>16</v>
      </c>
      <c r="B25" s="8" t="s">
        <v>60</v>
      </c>
      <c r="C25" s="8" t="s">
        <v>61</v>
      </c>
      <c r="D25" s="7">
        <f>0.03+0.02+0.4+0.65+0.15+0.3+0.63+2</f>
        <v>4.18</v>
      </c>
      <c r="E25" s="7">
        <f>148+97+2115.6+3438.2+793.2+1698.6+3563.4+11316</f>
        <v>23170</v>
      </c>
      <c r="F25" s="4"/>
    </row>
    <row r="26" spans="1:6" s="1" customFormat="1" ht="47.25" x14ac:dyDescent="0.25">
      <c r="A26" s="7">
        <v>17</v>
      </c>
      <c r="B26" s="8" t="s">
        <v>26</v>
      </c>
      <c r="C26" s="8" t="s">
        <v>11</v>
      </c>
      <c r="D26" s="7">
        <f>0.4+0.2+0.2+0.15+0.15+0.45+0.5+0.32+0.3+0.8</f>
        <v>3.4699999999999998</v>
      </c>
      <c r="E26" s="7">
        <f>10289.2+5145.2+5145.2+3858.8+4105.8+12319.2+13687.8+9335.4+8753.4+23343</f>
        <v>95983</v>
      </c>
      <c r="F26" s="4"/>
    </row>
    <row r="27" spans="1:6" s="1" customFormat="1" ht="47.25" x14ac:dyDescent="0.25">
      <c r="A27" s="7">
        <v>18</v>
      </c>
      <c r="B27" s="8" t="s">
        <v>75</v>
      </c>
      <c r="C27" s="8" t="s">
        <v>11</v>
      </c>
      <c r="D27" s="7">
        <f>0.02+0.6+0.05+0.1</f>
        <v>0.77</v>
      </c>
      <c r="E27" s="7">
        <f>1759+52816.6+4707+9414</f>
        <v>68696.600000000006</v>
      </c>
      <c r="F27" s="4"/>
    </row>
    <row r="28" spans="1:6" s="1" customFormat="1" ht="31.5" x14ac:dyDescent="0.25">
      <c r="A28" s="7">
        <v>19</v>
      </c>
      <c r="B28" s="8" t="s">
        <v>42</v>
      </c>
      <c r="C28" s="8" t="s">
        <v>27</v>
      </c>
      <c r="D28" s="7">
        <f>0.01+0.01</f>
        <v>0.02</v>
      </c>
      <c r="E28" s="7">
        <f>1541+307.2</f>
        <v>1848.2</v>
      </c>
      <c r="F28" s="4"/>
    </row>
    <row r="29" spans="1:6" s="1" customFormat="1" ht="31.5" x14ac:dyDescent="0.25">
      <c r="A29" s="7">
        <v>20</v>
      </c>
      <c r="B29" s="8" t="s">
        <v>62</v>
      </c>
      <c r="C29" s="8" t="s">
        <v>27</v>
      </c>
      <c r="D29" s="7">
        <f>0.01+0.02+0.02</f>
        <v>0.05</v>
      </c>
      <c r="E29" s="7">
        <f>473.4+1055+1055</f>
        <v>2583.4</v>
      </c>
      <c r="F29" s="4"/>
    </row>
    <row r="30" spans="1:6" ht="15.75" x14ac:dyDescent="0.25">
      <c r="A30" s="7"/>
      <c r="B30" s="8"/>
      <c r="C30" s="8"/>
      <c r="D30" s="7"/>
      <c r="E30" s="9">
        <f>SUM(E10:E29)</f>
        <v>840897.00000000012</v>
      </c>
      <c r="F30" s="4"/>
    </row>
    <row r="31" spans="1:6" ht="15.75" x14ac:dyDescent="0.25">
      <c r="A31" s="7"/>
      <c r="B31" s="12" t="s">
        <v>10</v>
      </c>
      <c r="C31" s="8"/>
      <c r="D31" s="7"/>
      <c r="E31" s="7"/>
      <c r="F31" s="4"/>
    </row>
    <row r="32" spans="1:6" s="1" customFormat="1" ht="15.75" x14ac:dyDescent="0.25">
      <c r="A32" s="7">
        <v>1</v>
      </c>
      <c r="B32" s="8" t="s">
        <v>103</v>
      </c>
      <c r="C32" s="8" t="s">
        <v>25</v>
      </c>
      <c r="D32" s="7">
        <v>1</v>
      </c>
      <c r="E32" s="7">
        <f>5000</f>
        <v>5000</v>
      </c>
      <c r="F32" s="4"/>
    </row>
    <row r="33" spans="1:6" ht="31.5" x14ac:dyDescent="0.25">
      <c r="A33" s="7">
        <v>2</v>
      </c>
      <c r="B33" s="8" t="s">
        <v>63</v>
      </c>
      <c r="C33" s="8" t="s">
        <v>12</v>
      </c>
      <c r="D33" s="7">
        <f>0.03+0.02+0.02+0.02+0.01+0.01+0.1+0.08+0.02+0.01+0.06</f>
        <v>0.38000000000000006</v>
      </c>
      <c r="E33" s="7">
        <f>4031+2719.4+1524+2391.8+986.8+1046.6+10160.2+8635.8+1522.6+2528.6+1078+8717.2</f>
        <v>45342</v>
      </c>
      <c r="F33" s="4">
        <f>E33/14</f>
        <v>3238.7142857142858</v>
      </c>
    </row>
    <row r="34" spans="1:6" s="1" customFormat="1" ht="15.75" x14ac:dyDescent="0.25">
      <c r="A34" s="7">
        <v>3</v>
      </c>
      <c r="B34" s="8" t="s">
        <v>57</v>
      </c>
      <c r="C34" s="8" t="s">
        <v>49</v>
      </c>
      <c r="D34" s="7">
        <f>1</f>
        <v>1</v>
      </c>
      <c r="E34" s="7">
        <f>18820.4</f>
        <v>18820.400000000001</v>
      </c>
      <c r="F34" s="4">
        <f>E34/D34</f>
        <v>18820.400000000001</v>
      </c>
    </row>
    <row r="35" spans="1:6" s="1" customFormat="1" ht="15.75" x14ac:dyDescent="0.25">
      <c r="A35" s="7">
        <v>4</v>
      </c>
      <c r="B35" s="8" t="s">
        <v>46</v>
      </c>
      <c r="C35" s="8" t="s">
        <v>47</v>
      </c>
      <c r="D35" s="7">
        <f>1</f>
        <v>1</v>
      </c>
      <c r="E35" s="7">
        <f>1136.4</f>
        <v>1136.4000000000001</v>
      </c>
      <c r="F35" s="4">
        <f>E35/D35</f>
        <v>1136.4000000000001</v>
      </c>
    </row>
    <row r="36" spans="1:6" s="1" customFormat="1" ht="31.5" x14ac:dyDescent="0.25">
      <c r="A36" s="7">
        <v>5</v>
      </c>
      <c r="B36" s="8" t="s">
        <v>93</v>
      </c>
      <c r="C36" s="8" t="s">
        <v>53</v>
      </c>
      <c r="D36" s="7">
        <f>0.01</f>
        <v>0.01</v>
      </c>
      <c r="E36" s="7">
        <f>10948</f>
        <v>10948</v>
      </c>
      <c r="F36" s="4"/>
    </row>
    <row r="37" spans="1:6" s="1" customFormat="1" ht="31.5" x14ac:dyDescent="0.25">
      <c r="A37" s="7">
        <v>6</v>
      </c>
      <c r="B37" s="8" t="s">
        <v>94</v>
      </c>
      <c r="C37" s="8" t="s">
        <v>12</v>
      </c>
      <c r="D37" s="7">
        <f>0.01</f>
        <v>0.01</v>
      </c>
      <c r="E37" s="7">
        <f>22132.8</f>
        <v>22132.799999999999</v>
      </c>
      <c r="F37" s="4"/>
    </row>
    <row r="38" spans="1:6" s="1" customFormat="1" ht="47.25" x14ac:dyDescent="0.25">
      <c r="A38" s="7">
        <v>7</v>
      </c>
      <c r="B38" s="8" t="s">
        <v>76</v>
      </c>
      <c r="C38" s="8" t="s">
        <v>77</v>
      </c>
      <c r="D38" s="7">
        <f>4</f>
        <v>4</v>
      </c>
      <c r="E38" s="7">
        <f>77381.6</f>
        <v>77381.600000000006</v>
      </c>
      <c r="F38" s="4"/>
    </row>
    <row r="39" spans="1:6" s="1" customFormat="1" ht="15.75" x14ac:dyDescent="0.25">
      <c r="A39" s="7">
        <v>8</v>
      </c>
      <c r="B39" s="8" t="s">
        <v>78</v>
      </c>
      <c r="C39" s="8" t="s">
        <v>49</v>
      </c>
      <c r="D39" s="7">
        <f>4</f>
        <v>4</v>
      </c>
      <c r="E39" s="7">
        <f>25194</f>
        <v>25194</v>
      </c>
      <c r="F39" s="4"/>
    </row>
    <row r="40" spans="1:6" s="1" customFormat="1" ht="31.5" x14ac:dyDescent="0.25">
      <c r="A40" s="7">
        <v>9</v>
      </c>
      <c r="B40" s="8" t="s">
        <v>82</v>
      </c>
      <c r="C40" s="8" t="s">
        <v>25</v>
      </c>
      <c r="D40" s="7">
        <v>1</v>
      </c>
      <c r="E40" s="7">
        <f>29000</f>
        <v>29000</v>
      </c>
      <c r="F40" s="4"/>
    </row>
    <row r="41" spans="1:6" s="1" customFormat="1" ht="15.75" x14ac:dyDescent="0.25">
      <c r="A41" s="7">
        <v>10</v>
      </c>
      <c r="B41" s="8" t="s">
        <v>89</v>
      </c>
      <c r="C41" s="8" t="s">
        <v>47</v>
      </c>
      <c r="D41" s="7">
        <f>12+5</f>
        <v>17</v>
      </c>
      <c r="E41" s="7">
        <f>668.6+296.6</f>
        <v>965.2</v>
      </c>
      <c r="F41" s="4"/>
    </row>
    <row r="42" spans="1:6" s="1" customFormat="1" ht="15.75" x14ac:dyDescent="0.25">
      <c r="A42" s="7">
        <v>11</v>
      </c>
      <c r="B42" s="8" t="s">
        <v>90</v>
      </c>
      <c r="C42" s="8" t="s">
        <v>47</v>
      </c>
      <c r="D42" s="7">
        <f>12+5</f>
        <v>17</v>
      </c>
      <c r="E42" s="7">
        <f>14432+3653.4</f>
        <v>18085.400000000001</v>
      </c>
      <c r="F42" s="4"/>
    </row>
    <row r="43" spans="1:6" s="1" customFormat="1" ht="47.25" x14ac:dyDescent="0.25">
      <c r="A43" s="7">
        <v>12</v>
      </c>
      <c r="B43" s="8" t="s">
        <v>91</v>
      </c>
      <c r="C43" s="8" t="s">
        <v>92</v>
      </c>
      <c r="D43" s="7">
        <f>2+1</f>
        <v>3</v>
      </c>
      <c r="E43" s="7">
        <f>11725.8+6238.4</f>
        <v>17964.199999999997</v>
      </c>
      <c r="F43" s="4"/>
    </row>
    <row r="44" spans="1:6" s="17" customFormat="1" ht="94.5" x14ac:dyDescent="0.25">
      <c r="A44" s="7">
        <v>13</v>
      </c>
      <c r="B44" s="15" t="s">
        <v>28</v>
      </c>
      <c r="C44" s="15" t="s">
        <v>29</v>
      </c>
      <c r="D44" s="14">
        <f>0.02</f>
        <v>0.02</v>
      </c>
      <c r="E44" s="14">
        <f>2770.4</f>
        <v>2770.4</v>
      </c>
      <c r="F44" s="16">
        <f>E44/50</f>
        <v>55.408000000000001</v>
      </c>
    </row>
    <row r="45" spans="1:6" s="17" customFormat="1" ht="31.5" x14ac:dyDescent="0.25">
      <c r="A45" s="7">
        <v>14</v>
      </c>
      <c r="B45" s="15" t="s">
        <v>56</v>
      </c>
      <c r="C45" s="15" t="s">
        <v>45</v>
      </c>
      <c r="D45" s="14">
        <f>0.02</f>
        <v>0.02</v>
      </c>
      <c r="E45" s="14">
        <f>1181.2</f>
        <v>1181.2</v>
      </c>
      <c r="F45" s="16">
        <f>E45/2</f>
        <v>590.6</v>
      </c>
    </row>
    <row r="46" spans="1:6" s="1" customFormat="1" ht="78.75" x14ac:dyDescent="0.25">
      <c r="A46" s="7">
        <v>15</v>
      </c>
      <c r="B46" s="8" t="s">
        <v>96</v>
      </c>
      <c r="C46" s="8" t="s">
        <v>13</v>
      </c>
      <c r="D46" s="7">
        <f>0.03</f>
        <v>0.03</v>
      </c>
      <c r="E46" s="7">
        <f>1542</f>
        <v>1542</v>
      </c>
      <c r="F46" s="4">
        <f>E46/241</f>
        <v>6.398340248962656</v>
      </c>
    </row>
    <row r="47" spans="1:6" s="1" customFormat="1" ht="78.75" x14ac:dyDescent="0.25">
      <c r="A47" s="7">
        <v>16</v>
      </c>
      <c r="B47" s="8" t="s">
        <v>69</v>
      </c>
      <c r="C47" s="8" t="s">
        <v>13</v>
      </c>
      <c r="D47" s="7">
        <f>0.18</f>
        <v>0.18</v>
      </c>
      <c r="E47" s="7">
        <f>3735.6</f>
        <v>3735.6</v>
      </c>
      <c r="F47" s="4">
        <f>E47/2</f>
        <v>1867.8</v>
      </c>
    </row>
    <row r="48" spans="1:6" s="1" customFormat="1" ht="78.75" x14ac:dyDescent="0.25">
      <c r="A48" s="7">
        <v>17</v>
      </c>
      <c r="B48" s="8" t="s">
        <v>70</v>
      </c>
      <c r="C48" s="8" t="s">
        <v>13</v>
      </c>
      <c r="D48" s="7">
        <f>0.431</f>
        <v>0.43099999999999999</v>
      </c>
      <c r="E48" s="7">
        <f>5468.2</f>
        <v>5468.2</v>
      </c>
      <c r="F48" s="4"/>
    </row>
    <row r="49" spans="1:6" s="1" customFormat="1" ht="78.75" x14ac:dyDescent="0.25">
      <c r="A49" s="7">
        <v>18</v>
      </c>
      <c r="B49" s="8" t="s">
        <v>80</v>
      </c>
      <c r="C49" s="8" t="s">
        <v>13</v>
      </c>
      <c r="D49" s="7">
        <f>0.01</f>
        <v>0.01</v>
      </c>
      <c r="E49" s="7">
        <f>135.8</f>
        <v>135.80000000000001</v>
      </c>
      <c r="F49" s="4">
        <f>E49/21</f>
        <v>6.4666666666666668</v>
      </c>
    </row>
    <row r="50" spans="1:6" s="1" customFormat="1" ht="31.5" x14ac:dyDescent="0.25">
      <c r="A50" s="7">
        <v>19</v>
      </c>
      <c r="B50" s="8" t="s">
        <v>42</v>
      </c>
      <c r="C50" s="8" t="s">
        <v>48</v>
      </c>
      <c r="D50" s="7">
        <f>0.02+0.02</f>
        <v>0.04</v>
      </c>
      <c r="E50" s="7">
        <f>617.4+1321</f>
        <v>1938.4</v>
      </c>
      <c r="F50" s="4">
        <f>E50/18</f>
        <v>107.6888888888889</v>
      </c>
    </row>
    <row r="51" spans="1:6" s="1" customFormat="1" ht="94.5" x14ac:dyDescent="0.25">
      <c r="A51" s="7">
        <v>20</v>
      </c>
      <c r="B51" s="8" t="s">
        <v>99</v>
      </c>
      <c r="C51" s="8" t="s">
        <v>100</v>
      </c>
      <c r="D51" s="7">
        <f>0.06</f>
        <v>0.06</v>
      </c>
      <c r="E51" s="7">
        <f>1816.8</f>
        <v>1816.8</v>
      </c>
      <c r="F51" s="4">
        <f>E51/28</f>
        <v>64.885714285714286</v>
      </c>
    </row>
    <row r="52" spans="1:6" s="1" customFormat="1" ht="31.5" x14ac:dyDescent="0.25">
      <c r="A52" s="7">
        <v>21</v>
      </c>
      <c r="B52" s="8" t="s">
        <v>67</v>
      </c>
      <c r="C52" s="8" t="s">
        <v>68</v>
      </c>
      <c r="D52" s="7">
        <f>2.5</f>
        <v>2.5</v>
      </c>
      <c r="E52" s="7">
        <f>6279</f>
        <v>6279</v>
      </c>
      <c r="F52" s="4">
        <f>E52/2.73</f>
        <v>2300</v>
      </c>
    </row>
    <row r="53" spans="1:6" s="1" customFormat="1" ht="47.25" x14ac:dyDescent="0.25">
      <c r="A53" s="7">
        <v>22</v>
      </c>
      <c r="B53" s="8" t="s">
        <v>97</v>
      </c>
      <c r="C53" s="8" t="s">
        <v>98</v>
      </c>
      <c r="D53" s="7">
        <f>100</f>
        <v>100</v>
      </c>
      <c r="E53" s="7">
        <f>50231.6</f>
        <v>50231.6</v>
      </c>
      <c r="F53" s="4">
        <f>E53/2.73</f>
        <v>18399.853479853478</v>
      </c>
    </row>
    <row r="54" spans="1:6" s="1" customFormat="1" ht="47.25" x14ac:dyDescent="0.25">
      <c r="A54" s="7">
        <v>23</v>
      </c>
      <c r="B54" s="8" t="s">
        <v>58</v>
      </c>
      <c r="C54" s="8" t="s">
        <v>59</v>
      </c>
      <c r="D54" s="7">
        <f>0.0085+0.0073</f>
        <v>1.5800000000000002E-2</v>
      </c>
      <c r="E54" s="7">
        <f>1782+1525.6</f>
        <v>3307.6</v>
      </c>
      <c r="F54" s="4">
        <f>E54/1</f>
        <v>3307.6</v>
      </c>
    </row>
    <row r="55" spans="1:6" s="1" customFormat="1" ht="47.25" x14ac:dyDescent="0.25">
      <c r="A55" s="7">
        <v>24</v>
      </c>
      <c r="B55" s="8" t="s">
        <v>66</v>
      </c>
      <c r="C55" s="8" t="s">
        <v>59</v>
      </c>
      <c r="D55" s="7">
        <f>0.01</f>
        <v>0.01</v>
      </c>
      <c r="E55" s="7">
        <f>1860.4</f>
        <v>1860.4</v>
      </c>
      <c r="F55" s="4">
        <f>E55/1</f>
        <v>1860.4</v>
      </c>
    </row>
    <row r="56" spans="1:6" s="1" customFormat="1" ht="15.75" x14ac:dyDescent="0.25">
      <c r="A56" s="7">
        <v>25</v>
      </c>
      <c r="B56" s="8" t="s">
        <v>79</v>
      </c>
      <c r="C56" s="8" t="s">
        <v>25</v>
      </c>
      <c r="D56" s="7">
        <f>2</f>
        <v>2</v>
      </c>
      <c r="E56" s="7">
        <f>3600</f>
        <v>3600</v>
      </c>
      <c r="F56" s="4">
        <f>E56/6</f>
        <v>600</v>
      </c>
    </row>
    <row r="57" spans="1:6" s="1" customFormat="1" ht="15.75" x14ac:dyDescent="0.25">
      <c r="A57" s="7">
        <v>26</v>
      </c>
      <c r="B57" s="8" t="s">
        <v>64</v>
      </c>
      <c r="C57" s="8" t="s">
        <v>25</v>
      </c>
      <c r="D57" s="7">
        <f>1+1+1</f>
        <v>3</v>
      </c>
      <c r="E57" s="7">
        <f>26500+18500+91600</f>
        <v>136600</v>
      </c>
      <c r="F57" s="4">
        <f>E57/2.71</f>
        <v>50405.904059040593</v>
      </c>
    </row>
    <row r="58" spans="1:6" s="1" customFormat="1" ht="15.75" x14ac:dyDescent="0.25">
      <c r="A58" s="7">
        <v>27</v>
      </c>
      <c r="B58" s="8" t="s">
        <v>83</v>
      </c>
      <c r="C58" s="8" t="s">
        <v>84</v>
      </c>
      <c r="D58" s="7">
        <f>0.0247</f>
        <v>2.47E-2</v>
      </c>
      <c r="E58" s="7">
        <f>1660.4</f>
        <v>1660.4</v>
      </c>
      <c r="F58" s="4"/>
    </row>
    <row r="59" spans="1:6" s="1" customFormat="1" ht="31.5" x14ac:dyDescent="0.25">
      <c r="A59" s="7">
        <v>28</v>
      </c>
      <c r="B59" s="8" t="s">
        <v>85</v>
      </c>
      <c r="C59" s="8" t="s">
        <v>86</v>
      </c>
      <c r="D59" s="7">
        <f>0.072</f>
        <v>7.1999999999999995E-2</v>
      </c>
      <c r="E59" s="7">
        <f>2306</f>
        <v>2306</v>
      </c>
      <c r="F59" s="4"/>
    </row>
    <row r="60" spans="1:6" s="1" customFormat="1" ht="15.75" x14ac:dyDescent="0.25">
      <c r="A60" s="7">
        <v>29</v>
      </c>
      <c r="B60" s="8" t="s">
        <v>95</v>
      </c>
      <c r="C60" s="8" t="s">
        <v>49</v>
      </c>
      <c r="D60" s="7">
        <f>1</f>
        <v>1</v>
      </c>
      <c r="E60" s="7">
        <f>777.2</f>
        <v>777.2</v>
      </c>
      <c r="F60" s="4">
        <f>E60/1</f>
        <v>777.2</v>
      </c>
    </row>
    <row r="61" spans="1:6" s="1" customFormat="1" ht="15.75" x14ac:dyDescent="0.25">
      <c r="A61" s="7">
        <v>30</v>
      </c>
      <c r="B61" s="8" t="s">
        <v>101</v>
      </c>
      <c r="C61" s="8" t="s">
        <v>25</v>
      </c>
      <c r="D61" s="7">
        <v>1</v>
      </c>
      <c r="E61" s="7">
        <v>14860</v>
      </c>
      <c r="F61" s="4">
        <f>E61/1</f>
        <v>14860</v>
      </c>
    </row>
    <row r="62" spans="1:6" s="1" customFormat="1" ht="31.5" x14ac:dyDescent="0.25">
      <c r="A62" s="7">
        <v>31</v>
      </c>
      <c r="B62" s="8" t="s">
        <v>24</v>
      </c>
      <c r="C62" s="8" t="s">
        <v>12</v>
      </c>
      <c r="D62" s="7">
        <v>0.31</v>
      </c>
      <c r="E62" s="7">
        <f>56841.6</f>
        <v>56841.599999999999</v>
      </c>
      <c r="F62" s="4">
        <f>E62/1</f>
        <v>56841.599999999999</v>
      </c>
    </row>
    <row r="63" spans="1:6" s="1" customFormat="1" ht="15.75" x14ac:dyDescent="0.25">
      <c r="A63" s="7">
        <v>32</v>
      </c>
      <c r="B63" s="8" t="s">
        <v>64</v>
      </c>
      <c r="C63" s="8" t="s">
        <v>65</v>
      </c>
      <c r="D63" s="7">
        <f>1</f>
        <v>1</v>
      </c>
      <c r="E63" s="7">
        <f>25000</f>
        <v>25000</v>
      </c>
      <c r="F63" s="4">
        <f>E63/0.4</f>
        <v>62500</v>
      </c>
    </row>
    <row r="64" spans="1:6" s="1" customFormat="1" ht="47.25" x14ac:dyDescent="0.25">
      <c r="A64" s="7">
        <v>33</v>
      </c>
      <c r="B64" s="8" t="s">
        <v>51</v>
      </c>
      <c r="C64" s="8" t="s">
        <v>52</v>
      </c>
      <c r="D64" s="7">
        <f>10</f>
        <v>10</v>
      </c>
      <c r="E64" s="7">
        <f>6500</f>
        <v>6500</v>
      </c>
      <c r="F64" s="4"/>
    </row>
    <row r="65" spans="1:10" s="1" customFormat="1" ht="31.5" x14ac:dyDescent="0.25">
      <c r="A65" s="7">
        <v>34</v>
      </c>
      <c r="B65" s="8" t="s">
        <v>40</v>
      </c>
      <c r="C65" s="8" t="s">
        <v>41</v>
      </c>
      <c r="D65" s="7">
        <f>120+35+105+55</f>
        <v>315</v>
      </c>
      <c r="E65" s="7">
        <f>4000+1750+5250+2292</f>
        <v>13292</v>
      </c>
      <c r="F65" s="4">
        <f>E65/D65</f>
        <v>42.196825396825396</v>
      </c>
    </row>
    <row r="66" spans="1:10" s="1" customFormat="1" ht="15.75" x14ac:dyDescent="0.25">
      <c r="A66" s="7"/>
      <c r="B66" s="8"/>
      <c r="C66" s="8"/>
      <c r="D66" s="7"/>
      <c r="E66" s="9">
        <f>SUM(E32:E65)</f>
        <v>613674.20000000007</v>
      </c>
      <c r="F66" s="4"/>
    </row>
    <row r="67" spans="1:10" ht="15.75" x14ac:dyDescent="0.25">
      <c r="A67" s="7"/>
      <c r="B67" s="8" t="s">
        <v>8</v>
      </c>
      <c r="C67" s="7"/>
      <c r="D67" s="7"/>
      <c r="E67" s="9">
        <f>E30+E66</f>
        <v>1454571.2000000002</v>
      </c>
      <c r="F67" s="4"/>
    </row>
    <row r="68" spans="1:10" ht="15.75" x14ac:dyDescent="0.25">
      <c r="A68" s="7"/>
      <c r="B68" s="8"/>
      <c r="C68" s="7"/>
      <c r="D68" s="7"/>
      <c r="E68" s="7"/>
      <c r="F68" s="4"/>
    </row>
    <row r="69" spans="1:10" ht="15.75" x14ac:dyDescent="0.25">
      <c r="A69" s="10"/>
      <c r="B69" s="10"/>
      <c r="C69" s="10"/>
      <c r="D69" s="10"/>
      <c r="E69" s="10"/>
      <c r="F69" s="4"/>
      <c r="J69" t="s">
        <v>31</v>
      </c>
    </row>
    <row r="70" spans="1:10" ht="15.75" x14ac:dyDescent="0.25">
      <c r="A70" s="10"/>
      <c r="B70" s="10" t="s">
        <v>15</v>
      </c>
      <c r="C70" s="10" t="s">
        <v>33</v>
      </c>
      <c r="D70" s="10"/>
      <c r="E70" s="10"/>
      <c r="F70" s="1"/>
    </row>
    <row r="71" spans="1:10" x14ac:dyDescent="0.25">
      <c r="A71" s="2"/>
      <c r="B71" s="2"/>
      <c r="C71" s="2"/>
      <c r="D71" s="2"/>
      <c r="E71" s="2"/>
      <c r="F71" s="1"/>
    </row>
    <row r="72" spans="1:10" x14ac:dyDescent="0.25">
      <c r="A72" s="2"/>
      <c r="B72" s="2"/>
      <c r="C72" s="2"/>
      <c r="D72" s="2"/>
      <c r="E72" s="2"/>
      <c r="F72" s="1"/>
    </row>
    <row r="73" spans="1:10" x14ac:dyDescent="0.25">
      <c r="A73" s="2"/>
      <c r="B73" s="2" t="s">
        <v>16</v>
      </c>
      <c r="C73" s="2"/>
      <c r="D73" s="18"/>
      <c r="E73" s="2" t="s">
        <v>39</v>
      </c>
      <c r="F73" s="13"/>
      <c r="G73" s="13"/>
    </row>
    <row r="74" spans="1:10" x14ac:dyDescent="0.25">
      <c r="A74" s="2"/>
      <c r="B74" s="2"/>
      <c r="C74" s="2" t="s">
        <v>34</v>
      </c>
      <c r="D74" s="18">
        <f>32961.4+32739+27933.4+322199.8+414343-216318.8+49477.6+53039.8+56630.2+67891.6</f>
        <v>840897</v>
      </c>
      <c r="E74" s="2"/>
      <c r="F74" s="13"/>
      <c r="G74" s="13"/>
    </row>
    <row r="75" spans="1:10" x14ac:dyDescent="0.25">
      <c r="A75" s="2"/>
      <c r="B75" s="2"/>
      <c r="C75" s="2" t="s">
        <v>35</v>
      </c>
      <c r="D75" s="18">
        <f>32585+4243.4+102194+2033.4+152743.8+55517.6+205583.6+21947.8+9066.4+27759.2</f>
        <v>613674.19999999995</v>
      </c>
      <c r="E75" s="2"/>
      <c r="F75" s="13"/>
      <c r="G75" s="13"/>
    </row>
    <row r="76" spans="1:10" x14ac:dyDescent="0.25">
      <c r="A76" s="2"/>
      <c r="B76" s="2"/>
      <c r="C76" s="2"/>
      <c r="D76" s="18">
        <f>D74+D75</f>
        <v>1454571.2</v>
      </c>
      <c r="E76" s="2"/>
      <c r="F76" s="13"/>
      <c r="G76" s="13"/>
    </row>
    <row r="77" spans="1:10" x14ac:dyDescent="0.25">
      <c r="A77" s="2"/>
      <c r="B77" s="2"/>
      <c r="C77" s="2" t="s">
        <v>36</v>
      </c>
      <c r="D77" s="18">
        <f>65546.4+36982.4+130127.4+324233.2+567086.8-160801.2+255061.2+74987.6+65696.6+95650.8</f>
        <v>1454571.2000000004</v>
      </c>
      <c r="E77" s="18"/>
    </row>
    <row r="78" spans="1:10" x14ac:dyDescent="0.25">
      <c r="A78" s="2"/>
      <c r="B78" s="2"/>
      <c r="C78" s="2"/>
      <c r="D78" s="2"/>
      <c r="E78" s="2"/>
    </row>
    <row r="79" spans="1:10" x14ac:dyDescent="0.25">
      <c r="A79" s="2"/>
      <c r="B79" s="2"/>
      <c r="C79" s="2"/>
      <c r="D79" s="18"/>
      <c r="E79" s="18"/>
      <c r="F79" t="s">
        <v>30</v>
      </c>
    </row>
    <row r="80" spans="1:10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  <row r="1224" spans="7:7" x14ac:dyDescent="0.25">
      <c r="G1224" t="s">
        <v>32</v>
      </c>
    </row>
    <row r="1226" spans="7:7" x14ac:dyDescent="0.25">
      <c r="G1226" t="s">
        <v>30</v>
      </c>
    </row>
  </sheetData>
  <pageMargins left="0.7874015748031496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2023-01-23T13:22:46Z</cp:lastPrinted>
  <dcterms:created xsi:type="dcterms:W3CDTF">2016-09-29T06:37:31Z</dcterms:created>
  <dcterms:modified xsi:type="dcterms:W3CDTF">2023-01-23T13:23:42Z</dcterms:modified>
</cp:coreProperties>
</file>