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8" i="1" l="1"/>
  <c r="D78" i="1"/>
  <c r="E77" i="1"/>
  <c r="D77" i="1"/>
  <c r="E66" i="1"/>
  <c r="D66" i="1"/>
  <c r="E57" i="1"/>
  <c r="D57" i="1"/>
  <c r="E38" i="1"/>
  <c r="D38" i="1"/>
  <c r="E33" i="1"/>
  <c r="D33" i="1"/>
  <c r="E15" i="1"/>
  <c r="E10" i="1"/>
  <c r="D10" i="1"/>
  <c r="E11" i="1"/>
  <c r="D11" i="1"/>
  <c r="E23" i="1"/>
  <c r="D23" i="1"/>
  <c r="E25" i="1"/>
  <c r="D25" i="1"/>
  <c r="E26" i="1"/>
  <c r="D26" i="1"/>
  <c r="E22" i="1"/>
  <c r="E20" i="1"/>
  <c r="D20" i="1"/>
  <c r="D90" i="1"/>
  <c r="D88" i="1"/>
  <c r="D87" i="1"/>
  <c r="E39" i="1" l="1"/>
  <c r="D39" i="1"/>
  <c r="D40" i="1"/>
  <c r="E72" i="1"/>
  <c r="D72" i="1"/>
  <c r="E75" i="1"/>
  <c r="D75" i="1"/>
  <c r="E74" i="1"/>
  <c r="D74" i="1"/>
  <c r="E56" i="1"/>
  <c r="E55" i="1"/>
  <c r="D55" i="1"/>
  <c r="E12" i="1"/>
  <c r="D12" i="1"/>
  <c r="E18" i="1"/>
  <c r="D18" i="1"/>
  <c r="E69" i="1" l="1"/>
  <c r="D69" i="1"/>
  <c r="E65" i="1"/>
  <c r="D65" i="1"/>
  <c r="E27" i="1" l="1"/>
  <c r="D27" i="1"/>
  <c r="E32" i="1"/>
  <c r="D32" i="1"/>
  <c r="E34" i="1"/>
  <c r="E24" i="1"/>
  <c r="D24" i="1"/>
  <c r="E30" i="1"/>
  <c r="D30" i="1"/>
  <c r="E21" i="1"/>
  <c r="D21" i="1"/>
  <c r="E76" i="1" l="1"/>
  <c r="D76" i="1"/>
  <c r="E68" i="1"/>
  <c r="D68" i="1"/>
  <c r="E73" i="1"/>
  <c r="D73" i="1"/>
  <c r="E61" i="1"/>
  <c r="D61" i="1"/>
  <c r="E60" i="1"/>
  <c r="D60" i="1"/>
  <c r="E40" i="1"/>
  <c r="E54" i="1"/>
  <c r="D54" i="1"/>
  <c r="E53" i="1"/>
  <c r="D53" i="1"/>
  <c r="E52" i="1"/>
  <c r="D52" i="1"/>
  <c r="E51" i="1"/>
  <c r="D51" i="1"/>
  <c r="E37" i="1"/>
  <c r="D37" i="1"/>
  <c r="E31" i="1" l="1"/>
  <c r="D31" i="1"/>
  <c r="E19" i="1"/>
  <c r="D19" i="1"/>
  <c r="E58" i="1" l="1"/>
  <c r="D58" i="1"/>
  <c r="E59" i="1"/>
  <c r="D59" i="1"/>
  <c r="E41" i="1"/>
  <c r="D41" i="1"/>
  <c r="E29" i="1"/>
  <c r="D29" i="1"/>
  <c r="E71" i="1" l="1"/>
  <c r="D71" i="1"/>
  <c r="E70" i="1"/>
  <c r="D70" i="1"/>
  <c r="E64" i="1"/>
  <c r="D64" i="1"/>
  <c r="E47" i="1"/>
  <c r="D47" i="1"/>
  <c r="E46" i="1"/>
  <c r="D46" i="1"/>
  <c r="E45" i="1"/>
  <c r="D45" i="1"/>
  <c r="E42" i="1"/>
  <c r="D42" i="1"/>
  <c r="E50" i="1"/>
  <c r="D50" i="1"/>
  <c r="E49" i="1"/>
  <c r="D49" i="1"/>
  <c r="E48" i="1"/>
  <c r="D48" i="1"/>
  <c r="E44" i="1" l="1"/>
  <c r="D44" i="1"/>
  <c r="E43" i="1"/>
  <c r="D43" i="1"/>
  <c r="E17" i="1" l="1"/>
  <c r="E16" i="1"/>
  <c r="D16" i="1"/>
  <c r="E28" i="1" l="1"/>
  <c r="D28" i="1"/>
  <c r="E67" i="1"/>
  <c r="D67" i="1"/>
  <c r="E62" i="1"/>
  <c r="D62" i="1"/>
  <c r="E63" i="1"/>
  <c r="D63" i="1"/>
  <c r="D15" i="1"/>
  <c r="E13" i="1"/>
  <c r="D13" i="1"/>
  <c r="D22" i="1"/>
  <c r="E79" i="1" l="1"/>
  <c r="E35" i="1"/>
  <c r="F78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0" i="1"/>
  <c r="F48" i="1"/>
  <c r="F41" i="1"/>
  <c r="F39" i="1"/>
  <c r="F38" i="1"/>
  <c r="D89" i="1" l="1"/>
  <c r="E80" i="1" l="1"/>
</calcChain>
</file>

<file path=xl/sharedStrings.xml><?xml version="1.0" encoding="utf-8"?>
<sst xmlns="http://schemas.openxmlformats.org/spreadsheetml/2006/main" count="158" uniqueCount="123">
  <si>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</si>
  <si>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</si>
  <si>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</si>
  <si>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</si>
  <si>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</si>
  <si>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</si>
  <si>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</si>
  <si>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</si>
  <si>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</si>
  <si>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</si>
  <si>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</si>
  <si>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</si>
  <si>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</si>
  <si>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</si>
  <si>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</si>
  <si>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</si>
  <si>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</si>
  <si>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</si>
  <si>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</si>
  <si>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</si>
  <si>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</si>
  <si>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</si>
  <si>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</si>
  <si>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</si>
  <si>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</si>
  <si>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шт</t>
  </si>
  <si>
    <t>Очистка канализационной сети внутренней</t>
  </si>
  <si>
    <t>100шт приб.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</si>
  <si>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</si>
  <si>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</si>
  <si>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</si>
  <si>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</si>
  <si>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</si>
  <si>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</si>
  <si>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</si>
  <si>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</si>
  <si>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</si>
  <si>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улице Шмидта</t>
  </si>
  <si>
    <t>Разборка трубопроводов из водогазопроводных труб диам до 32мм</t>
  </si>
  <si>
    <t>Ремонт дверных полотен со сменой брусков обвязки вертикальных с числом сопряжений 2</t>
  </si>
  <si>
    <t>100 брусков</t>
  </si>
  <si>
    <t xml:space="preserve">  </t>
  </si>
  <si>
    <t>Механизированная уборка снега на придомовой территории</t>
  </si>
  <si>
    <t>мин</t>
  </si>
  <si>
    <t>Смена дверных приборов:ручки-скобы</t>
  </si>
  <si>
    <t>Смена дверных приборов:замки навесные</t>
  </si>
  <si>
    <t>Смена дверных приборов:замки врезные</t>
  </si>
  <si>
    <t>10 коробок</t>
  </si>
  <si>
    <t>Гидравлическое испытание трубопроводов систем отопления диам.до 100мм</t>
  </si>
  <si>
    <t>100сгонов</t>
  </si>
  <si>
    <t>Установка манометров</t>
  </si>
  <si>
    <t>1 компл.</t>
  </si>
  <si>
    <t>Смена выключателей</t>
  </si>
  <si>
    <t>Заделка отверстий фанерой</t>
  </si>
  <si>
    <t>10м2</t>
  </si>
  <si>
    <t>100шт приборов</t>
  </si>
  <si>
    <t>10шт</t>
  </si>
  <si>
    <t>1шт</t>
  </si>
  <si>
    <t>100 соединений</t>
  </si>
  <si>
    <t>100шт.</t>
  </si>
  <si>
    <t>Сборка узла трубопровода водоснабжения и отопления из многослойного полипропилена,армированнного стекловолокном,раструбная сварка,наружный диаметр:40мм</t>
  </si>
  <si>
    <t>Прокладка внутренних трубопроводов водоснабжения и отопления из полипропиленовых труб: диам. 40мм</t>
  </si>
  <si>
    <t>Установка хомутов диаметром трубопроводов до 100мм</t>
  </si>
  <si>
    <t>Услуги экскаватора-погрузчика,самосвала,погрузка и вывоз снега с придомовой территории</t>
  </si>
  <si>
    <t>м3</t>
  </si>
  <si>
    <t>100приборов</t>
  </si>
  <si>
    <t>Окраска масляными составами ранее окрашенных больших металлических поверхностей(кроме крыш) за 1 раз</t>
  </si>
  <si>
    <t>Окраска масляными составами ранее окрашенных поверхностей труб стальных за 1 раз</t>
  </si>
  <si>
    <t>10фильт.</t>
  </si>
  <si>
    <t>Смена сгонов у трубопроводов  диам32мм</t>
  </si>
  <si>
    <t>Установка насосов погружных</t>
  </si>
  <si>
    <t>Смена стекол толщиной 4-6 мм</t>
  </si>
  <si>
    <t>100м2 остекления</t>
  </si>
  <si>
    <t>Водоотлив из подвала электрическими насосами</t>
  </si>
  <si>
    <t>100м3 воды</t>
  </si>
  <si>
    <t>Смена дверных приборов:пружины</t>
  </si>
  <si>
    <t>услуга</t>
  </si>
  <si>
    <t>1м шва</t>
  </si>
  <si>
    <t>Прочистка фильтров диаметром 65мм</t>
  </si>
  <si>
    <t>имущества МКД, выполненных за 2022  года на жилом доме № 1</t>
  </si>
  <si>
    <t>Прочистка фильтров диаметром 32мм</t>
  </si>
  <si>
    <t>Смена ламп наливания</t>
  </si>
  <si>
    <t>Очистка внутренней поверхности теплообменного аппарата площадью нагрева 12м2</t>
  </si>
  <si>
    <t>1шт.</t>
  </si>
  <si>
    <t>Гидравлическое испытание аппарата</t>
  </si>
  <si>
    <t>Сборка узла трубопровода водоснабжения и отопления из многослойного полипропилена,армированнного стекловолокном,раструбная сварка,наружный диаметр:20мм</t>
  </si>
  <si>
    <t>Прокладка внутренних трубопроводов водоснабжения и отопления из полипропиленовых труб: диам. 20мм</t>
  </si>
  <si>
    <t>Установка термометров</t>
  </si>
  <si>
    <t>Смена кранов на шаровые краны диам.15,20,25,50 мм</t>
  </si>
  <si>
    <t>Снятие задвижек диаметром до 100мм</t>
  </si>
  <si>
    <t>100шт арматуры</t>
  </si>
  <si>
    <t>Установка вентилей,задвижек, затворов, клапанов обратных, кранов проходных на трубопроводах из стальных труб диаметром до 50мм</t>
  </si>
  <si>
    <t>Установка вентилей,задвижек, затворов, клапанов обратных, кранов проходных на трубопроводах из стальных труб диаметром 65мм</t>
  </si>
  <si>
    <t>Смена керамогранитных плит:до 6шт.</t>
  </si>
  <si>
    <t>Смена досок на скамейке до 3 шт в одном месте</t>
  </si>
  <si>
    <t>100м досок</t>
  </si>
  <si>
    <t>Ремонт металлического каркаса скамейки, урны у 1 подъезда</t>
  </si>
  <si>
    <t>1м2</t>
  </si>
  <si>
    <t>Замена торцевых уплотнений насоса</t>
  </si>
  <si>
    <t>Проверка на прогрев отопительных приборов с регулировкой</t>
  </si>
  <si>
    <t>Смена ламп люминесцентных</t>
  </si>
  <si>
    <t>Выполнение работ(оказание услуг) по организации государственной поверки приборов учета тепловой энергии</t>
  </si>
  <si>
    <t>Демонтаж кранов воздушных</t>
  </si>
  <si>
    <t>Установка кранов воздушных</t>
  </si>
  <si>
    <t xml:space="preserve">Установка насосов </t>
  </si>
  <si>
    <t>1 насос</t>
  </si>
  <si>
    <t>Врезка в действующие внутренние сети трубопроводов отопления и водоснабжения диаметром 25мм</t>
  </si>
  <si>
    <t>1 врезка</t>
  </si>
  <si>
    <t>Установка фланцевых соединений</t>
  </si>
  <si>
    <t>1 соед.</t>
  </si>
  <si>
    <t>Смена водомеров диам. 50мм</t>
  </si>
  <si>
    <t>Провод групповой осветительных сетей в защитной облочке</t>
  </si>
  <si>
    <t>Установка стендов</t>
  </si>
  <si>
    <t>Ремонт металлических ограждений мелкий</t>
  </si>
  <si>
    <t>Усиление сварных швов(наплавка)</t>
  </si>
  <si>
    <t>Водоотлив из подвала ведрами</t>
  </si>
  <si>
    <t>Смена дверных приборов:петли</t>
  </si>
  <si>
    <t>Ремонт дверных коробок узких в каменных стенах без снятия полотен</t>
  </si>
  <si>
    <t>Ремонт и восстановление уплотнения стыков прокладками ПРП в 1 ряд в стенах насухо</t>
  </si>
  <si>
    <t>100м восстановленной герметизации стыков</t>
  </si>
  <si>
    <t>Смена внутренних трубопроводов из стальных труб диам. 20мм хвс,гвс</t>
  </si>
  <si>
    <t>Установка розетки</t>
  </si>
  <si>
    <t>Смена внутренних трубопроводов из стальных труб диам. 25мм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</si>
</sst>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0" fontId="2" fillId="0" borderId="1" xfId="0" applyFont="1" applyBorder="1" applyAlignment="1">
      <alignment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9"/>
  <sheetViews>
    <sheetView tabSelected="1" zoomScale="148" zoomScaleNormal="148" workbookViewId="0">
      <selection activeCell="A86" sqref="A1:E8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7" ht="15.75" x14ac:dyDescent="0.25">
      <c r="A1" s="4"/>
      <c r="B1" s="4"/>
      <c r="C1" s="4"/>
      <c r="D1" s="4"/>
      <c r="E1" s="4"/>
      <c r="F1" s="1"/>
    </row>
    <row r="2" spans="1:7" ht="15.75" x14ac:dyDescent="0.25">
      <c r="A2" s="4"/>
      <c r="B2" s="3" t="s">
        <v>0</v>
      </c>
      <c r="C2" s="3"/>
      <c r="D2" s="4"/>
      <c r="E2" s="4"/>
      <c r="F2" s="1"/>
    </row>
    <row r="3" spans="1:7" ht="15.75" x14ac:dyDescent="0.25">
      <c r="A3" s="4"/>
      <c r="B3" s="3" t="s">
        <v>17</v>
      </c>
      <c r="C3" s="3"/>
      <c r="D3" s="3"/>
      <c r="E3" s="3"/>
      <c r="F3" s="1"/>
    </row>
    <row r="4" spans="1:7" ht="15.75" x14ac:dyDescent="0.25">
      <c r="A4" s="4"/>
      <c r="B4" s="3" t="s">
        <v>79</v>
      </c>
      <c r="C4" s="3"/>
      <c r="D4" s="3"/>
      <c r="E4" s="3"/>
      <c r="F4" s="1"/>
    </row>
    <row r="5" spans="1:7" ht="15.75" x14ac:dyDescent="0.25">
      <c r="A5" s="4"/>
      <c r="B5" s="3" t="s">
        <v>37</v>
      </c>
      <c r="C5" s="3"/>
      <c r="D5" s="3"/>
      <c r="E5" s="3"/>
      <c r="F5" s="1"/>
    </row>
    <row r="6" spans="1:7" ht="15.75" x14ac:dyDescent="0.25">
      <c r="A6" s="4"/>
      <c r="B6" s="4"/>
      <c r="C6" s="4"/>
      <c r="D6" s="4"/>
      <c r="E6" s="4"/>
      <c r="F6" s="1"/>
    </row>
    <row r="7" spans="1:7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7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7" s="1" customFormat="1" ht="15.75" x14ac:dyDescent="0.25">
      <c r="A9" s="6"/>
      <c r="B9" s="11" t="s">
        <v>9</v>
      </c>
      <c r="C9" s="6"/>
      <c r="D9" s="6"/>
      <c r="E9" s="6"/>
      <c r="F9" s="4"/>
    </row>
    <row r="10" spans="1:7" ht="15.75" x14ac:dyDescent="0.25">
      <c r="A10" s="7">
        <v>1</v>
      </c>
      <c r="B10" s="8" t="s">
        <v>36</v>
      </c>
      <c r="C10" s="8" t="s">
        <v>12</v>
      </c>
      <c r="D10" s="7">
        <f>0.04+0.38+0.47+0.25+0.38+0.36+0.34+0.26</f>
        <v>2.4799999999999995</v>
      </c>
      <c r="E10" s="7">
        <f>901.6+10151.6+15172.4+6196.2+9419.6+9066.2+8391+6547.4</f>
        <v>65846</v>
      </c>
      <c r="F10" s="4"/>
    </row>
    <row r="11" spans="1:7" s="1" customFormat="1" ht="15.75" x14ac:dyDescent="0.25">
      <c r="A11" s="7">
        <v>2</v>
      </c>
      <c r="B11" s="8" t="s">
        <v>81</v>
      </c>
      <c r="C11" s="8" t="s">
        <v>12</v>
      </c>
      <c r="D11" s="7">
        <f>0.12+0.02</f>
        <v>0.13999999999999999</v>
      </c>
      <c r="E11" s="7">
        <f>778.2+138.4</f>
        <v>916.6</v>
      </c>
      <c r="F11" s="4"/>
    </row>
    <row r="12" spans="1:7" s="1" customFormat="1" ht="15.75" x14ac:dyDescent="0.25">
      <c r="A12" s="7"/>
      <c r="B12" s="8" t="s">
        <v>100</v>
      </c>
      <c r="C12" s="8" t="s">
        <v>12</v>
      </c>
      <c r="D12" s="7">
        <f>0.07+0.14</f>
        <v>0.21000000000000002</v>
      </c>
      <c r="E12" s="7">
        <f>1061.2+2229.2</f>
        <v>3290.3999999999996</v>
      </c>
      <c r="F12" s="4"/>
    </row>
    <row r="13" spans="1:7" s="1" customFormat="1" ht="31.5" x14ac:dyDescent="0.25">
      <c r="A13" s="7">
        <v>3</v>
      </c>
      <c r="B13" s="8" t="s">
        <v>24</v>
      </c>
      <c r="C13" s="8" t="s">
        <v>12</v>
      </c>
      <c r="D13" s="7">
        <f>0.02</f>
        <v>0.02</v>
      </c>
      <c r="E13" s="7">
        <f>1792</f>
        <v>1792</v>
      </c>
      <c r="F13" s="4"/>
    </row>
    <row r="14" spans="1:7" s="1" customFormat="1" ht="15.75" x14ac:dyDescent="0.25">
      <c r="A14" s="7">
        <v>4</v>
      </c>
      <c r="B14" s="8" t="s">
        <v>52</v>
      </c>
      <c r="C14" s="8" t="s">
        <v>12</v>
      </c>
      <c r="D14" s="7"/>
      <c r="E14" s="7"/>
      <c r="F14" s="4"/>
    </row>
    <row r="15" spans="1:7" s="1" customFormat="1" ht="47.25" x14ac:dyDescent="0.25">
      <c r="A15" s="7">
        <v>5</v>
      </c>
      <c r="B15" s="8" t="s">
        <v>22</v>
      </c>
      <c r="C15" s="8" t="s">
        <v>23</v>
      </c>
      <c r="D15" s="7">
        <f>0.78</f>
        <v>0.78</v>
      </c>
      <c r="E15" s="7">
        <f>2577.2+2577.2+2769.2+2769.2+2769.2+2965.2+2965.2+2965.2</f>
        <v>22357.600000000002</v>
      </c>
      <c r="F15" s="4"/>
    </row>
    <row r="16" spans="1:7" ht="47.25" x14ac:dyDescent="0.25">
      <c r="A16" s="7">
        <v>6</v>
      </c>
      <c r="B16" s="8" t="s">
        <v>14</v>
      </c>
      <c r="C16" s="8" t="s">
        <v>11</v>
      </c>
      <c r="D16" s="7">
        <f>37</f>
        <v>37</v>
      </c>
      <c r="E16" s="7">
        <f>273822.8</f>
        <v>273822.8</v>
      </c>
      <c r="F16" s="4"/>
      <c r="G16">
        <v>0</v>
      </c>
    </row>
    <row r="17" spans="1:6" s="1" customFormat="1" ht="47.25" x14ac:dyDescent="0.25">
      <c r="A17" s="7">
        <v>7</v>
      </c>
      <c r="B17" s="8" t="s">
        <v>48</v>
      </c>
      <c r="C17" s="8" t="s">
        <v>11</v>
      </c>
      <c r="D17" s="7">
        <v>5.2</v>
      </c>
      <c r="E17" s="7">
        <f>38963.2</f>
        <v>38963.199999999997</v>
      </c>
      <c r="F17" s="4"/>
    </row>
    <row r="18" spans="1:6" s="1" customFormat="1" ht="31.5" x14ac:dyDescent="0.25">
      <c r="A18" s="7"/>
      <c r="B18" s="8" t="s">
        <v>62</v>
      </c>
      <c r="C18" s="8" t="s">
        <v>12</v>
      </c>
      <c r="D18" s="7">
        <f>0.01+0.01</f>
        <v>0.02</v>
      </c>
      <c r="E18" s="7">
        <f>1160.4+1256.4</f>
        <v>2416.8000000000002</v>
      </c>
      <c r="F18" s="4"/>
    </row>
    <row r="19" spans="1:6" s="1" customFormat="1" ht="15.75" x14ac:dyDescent="0.25">
      <c r="A19" s="7">
        <v>8</v>
      </c>
      <c r="B19" s="8" t="s">
        <v>78</v>
      </c>
      <c r="C19" s="8" t="s">
        <v>68</v>
      </c>
      <c r="D19" s="7">
        <f>0.2+0.3+0.2</f>
        <v>0.7</v>
      </c>
      <c r="E19" s="7">
        <f>3194.6+4794.6+3143</f>
        <v>11132.2</v>
      </c>
      <c r="F19" s="4"/>
    </row>
    <row r="20" spans="1:6" s="1" customFormat="1" ht="15.75" x14ac:dyDescent="0.25">
      <c r="A20" s="7"/>
      <c r="B20" s="8" t="s">
        <v>80</v>
      </c>
      <c r="C20" s="8" t="s">
        <v>68</v>
      </c>
      <c r="D20" s="7">
        <f>0.1+0.1+1.2</f>
        <v>1.4</v>
      </c>
      <c r="E20" s="7">
        <f>1046+1669.6+13370.8</f>
        <v>16086.4</v>
      </c>
      <c r="F20" s="4"/>
    </row>
    <row r="21" spans="1:6" s="1" customFormat="1" ht="31.5" x14ac:dyDescent="0.25">
      <c r="A21" s="7"/>
      <c r="B21" s="8" t="s">
        <v>99</v>
      </c>
      <c r="C21" s="8" t="s">
        <v>65</v>
      </c>
      <c r="D21" s="7">
        <f>0.2+0.18</f>
        <v>0.38</v>
      </c>
      <c r="E21" s="7">
        <f>2644+2548</f>
        <v>5192</v>
      </c>
      <c r="F21" s="4"/>
    </row>
    <row r="22" spans="1:6" s="1" customFormat="1" ht="78.75" x14ac:dyDescent="0.25">
      <c r="A22" s="7">
        <v>9</v>
      </c>
      <c r="B22" s="8" t="s">
        <v>18</v>
      </c>
      <c r="C22" s="8" t="s">
        <v>19</v>
      </c>
      <c r="D22" s="7">
        <f>4.1542</f>
        <v>4.1542000000000003</v>
      </c>
      <c r="E22" s="7">
        <f>14650.4+14650.4+15760.6+15760.6+15760.6+16866.2+16866.2+16866.2</f>
        <v>127181.2</v>
      </c>
      <c r="F22" s="4"/>
    </row>
    <row r="23" spans="1:6" s="1" customFormat="1" ht="31.5" x14ac:dyDescent="0.25">
      <c r="A23" s="7">
        <v>10</v>
      </c>
      <c r="B23" s="8" t="s">
        <v>20</v>
      </c>
      <c r="C23" s="8" t="s">
        <v>21</v>
      </c>
      <c r="D23" s="7">
        <f>0.12+0.03+0.06+0.08+0.2+0.15+0.12+0.15</f>
        <v>0.91</v>
      </c>
      <c r="E23" s="7">
        <f>6348+1586.2+3412.8+4552.2+11381+9135+7307.6+9135</f>
        <v>52857.799999999996</v>
      </c>
      <c r="F23" s="4"/>
    </row>
    <row r="24" spans="1:6" s="1" customFormat="1" ht="31.5" x14ac:dyDescent="0.25">
      <c r="A24" s="7"/>
      <c r="B24" s="8" t="s">
        <v>73</v>
      </c>
      <c r="C24" s="8" t="s">
        <v>74</v>
      </c>
      <c r="D24" s="7">
        <f>0.1+0.43+0.12+0.24</f>
        <v>0.89</v>
      </c>
      <c r="E24" s="7">
        <f>530.4+2275+634.6+1358.2</f>
        <v>4798.2</v>
      </c>
      <c r="F24" s="4"/>
    </row>
    <row r="25" spans="1:6" s="1" customFormat="1" ht="31.5" x14ac:dyDescent="0.25">
      <c r="A25" s="7"/>
      <c r="B25" s="8" t="s">
        <v>115</v>
      </c>
      <c r="C25" s="8" t="s">
        <v>74</v>
      </c>
      <c r="D25" s="7">
        <f>0.1+0.15+0.4</f>
        <v>0.65</v>
      </c>
      <c r="E25" s="7">
        <f>12169+849.2+2262.6</f>
        <v>15280.800000000001</v>
      </c>
      <c r="F25" s="4"/>
    </row>
    <row r="26" spans="1:6" s="1" customFormat="1" ht="47.25" x14ac:dyDescent="0.25">
      <c r="A26" s="7">
        <v>11</v>
      </c>
      <c r="B26" s="8" t="s">
        <v>26</v>
      </c>
      <c r="C26" s="8" t="s">
        <v>11</v>
      </c>
      <c r="D26" s="7">
        <f>0.1+0.12+0.06+0.02+0.2+0.15+0.08+0.15</f>
        <v>0.88</v>
      </c>
      <c r="E26" s="7">
        <f>2573+3086+1643.4+5474.2+5474.2+4375.8+2334.4+4375.8</f>
        <v>29336.799999999999</v>
      </c>
      <c r="F26" s="4"/>
    </row>
    <row r="27" spans="1:6" s="1" customFormat="1" ht="31.5" x14ac:dyDescent="0.25">
      <c r="A27" s="7"/>
      <c r="B27" s="8" t="s">
        <v>117</v>
      </c>
      <c r="C27" s="8" t="s">
        <v>47</v>
      </c>
      <c r="D27" s="7">
        <f>0.1</f>
        <v>0.1</v>
      </c>
      <c r="E27" s="7">
        <f>7469</f>
        <v>7469</v>
      </c>
      <c r="F27" s="4"/>
    </row>
    <row r="28" spans="1:6" s="1" customFormat="1" ht="31.5" x14ac:dyDescent="0.25">
      <c r="A28" s="7">
        <v>12</v>
      </c>
      <c r="B28" s="8" t="s">
        <v>44</v>
      </c>
      <c r="C28" s="8" t="s">
        <v>27</v>
      </c>
      <c r="D28" s="7">
        <f>0.01</f>
        <v>0.01</v>
      </c>
      <c r="E28" s="7">
        <f>307.2</f>
        <v>307.2</v>
      </c>
      <c r="F28" s="4"/>
    </row>
    <row r="29" spans="1:6" s="1" customFormat="1" ht="31.5" x14ac:dyDescent="0.25">
      <c r="A29" s="7">
        <v>13</v>
      </c>
      <c r="B29" s="8" t="s">
        <v>45</v>
      </c>
      <c r="C29" s="8" t="s">
        <v>27</v>
      </c>
      <c r="D29" s="7">
        <f>0.02+0.03</f>
        <v>0.05</v>
      </c>
      <c r="E29" s="7">
        <f>2138.8+3365.8</f>
        <v>5504.6</v>
      </c>
      <c r="F29" s="4"/>
    </row>
    <row r="30" spans="1:6" s="1" customFormat="1" ht="15.75" x14ac:dyDescent="0.25">
      <c r="A30" s="7"/>
      <c r="B30" s="8" t="s">
        <v>114</v>
      </c>
      <c r="C30" s="8" t="s">
        <v>77</v>
      </c>
      <c r="D30" s="7">
        <f>0.7</f>
        <v>0.7</v>
      </c>
      <c r="E30" s="7">
        <f>2154.2</f>
        <v>2154.1999999999998</v>
      </c>
      <c r="F30" s="4"/>
    </row>
    <row r="31" spans="1:6" s="1" customFormat="1" ht="31.5" x14ac:dyDescent="0.25">
      <c r="A31" s="7"/>
      <c r="B31" s="8" t="s">
        <v>46</v>
      </c>
      <c r="C31" s="8" t="s">
        <v>27</v>
      </c>
      <c r="D31" s="7">
        <f>0.01</f>
        <v>0.01</v>
      </c>
      <c r="E31" s="7">
        <f>852.2</f>
        <v>852.2</v>
      </c>
      <c r="F31" s="4"/>
    </row>
    <row r="32" spans="1:6" s="1" customFormat="1" ht="31.5" x14ac:dyDescent="0.25">
      <c r="A32" s="7"/>
      <c r="B32" s="8" t="s">
        <v>45</v>
      </c>
      <c r="C32" s="8" t="s">
        <v>27</v>
      </c>
      <c r="D32" s="7">
        <f>0.02</f>
        <v>0.02</v>
      </c>
      <c r="E32" s="7">
        <f>2355</f>
        <v>2355</v>
      </c>
      <c r="F32" s="4"/>
    </row>
    <row r="33" spans="1:6" s="1" customFormat="1" ht="31.5" x14ac:dyDescent="0.25">
      <c r="A33" s="7"/>
      <c r="B33" s="8" t="s">
        <v>75</v>
      </c>
      <c r="C33" s="8" t="s">
        <v>27</v>
      </c>
      <c r="D33" s="7">
        <f>0.04+0.02</f>
        <v>0.06</v>
      </c>
      <c r="E33" s="7">
        <f>2111+1055</f>
        <v>3166</v>
      </c>
      <c r="F33" s="4"/>
    </row>
    <row r="34" spans="1:6" s="1" customFormat="1" ht="31.5" x14ac:dyDescent="0.25">
      <c r="A34" s="7">
        <v>13</v>
      </c>
      <c r="B34" s="8" t="s">
        <v>116</v>
      </c>
      <c r="C34" s="8" t="s">
        <v>27</v>
      </c>
      <c r="D34" s="7">
        <v>0.01</v>
      </c>
      <c r="E34" s="7">
        <f>908.6</f>
        <v>908.6</v>
      </c>
      <c r="F34" s="4"/>
    </row>
    <row r="35" spans="1:6" ht="15.75" x14ac:dyDescent="0.25">
      <c r="A35" s="7"/>
      <c r="B35" s="8"/>
      <c r="C35" s="8"/>
      <c r="D35" s="7"/>
      <c r="E35" s="9">
        <f>SUM(E10:E34)</f>
        <v>693987.6</v>
      </c>
      <c r="F35" s="4"/>
    </row>
    <row r="36" spans="1:6" ht="15.75" x14ac:dyDescent="0.25">
      <c r="A36" s="7"/>
      <c r="B36" s="12" t="s">
        <v>10</v>
      </c>
      <c r="C36" s="8"/>
      <c r="D36" s="7"/>
      <c r="E36" s="7"/>
      <c r="F36" s="4"/>
    </row>
    <row r="37" spans="1:6" s="1" customFormat="1" ht="47.25" x14ac:dyDescent="0.25">
      <c r="A37" s="7">
        <v>1</v>
      </c>
      <c r="B37" s="8" t="s">
        <v>101</v>
      </c>
      <c r="C37" s="8" t="s">
        <v>76</v>
      </c>
      <c r="D37" s="7">
        <f>1</f>
        <v>1</v>
      </c>
      <c r="E37" s="7">
        <f>24000</f>
        <v>24000</v>
      </c>
      <c r="F37" s="4"/>
    </row>
    <row r="38" spans="1:6" ht="31.5" x14ac:dyDescent="0.25">
      <c r="A38" s="7">
        <v>2</v>
      </c>
      <c r="B38" s="8" t="s">
        <v>88</v>
      </c>
      <c r="C38" s="8" t="s">
        <v>12</v>
      </c>
      <c r="D38" s="7">
        <f>0.06+0.06+0.04+0.01+0.04+0.04+0.05</f>
        <v>0.3</v>
      </c>
      <c r="E38" s="7">
        <f>6817.8+6477.8+4188.6+7850.2+4434.6+4875+5599.2</f>
        <v>40243.199999999997</v>
      </c>
      <c r="F38" s="4">
        <f>E38/14</f>
        <v>2874.5142857142855</v>
      </c>
    </row>
    <row r="39" spans="1:6" s="1" customFormat="1" ht="15.75" x14ac:dyDescent="0.25">
      <c r="A39" s="7">
        <v>3</v>
      </c>
      <c r="B39" s="8" t="s">
        <v>70</v>
      </c>
      <c r="C39" s="8" t="s">
        <v>56</v>
      </c>
      <c r="D39" s="7">
        <f>0.2+0.1</f>
        <v>0.30000000000000004</v>
      </c>
      <c r="E39" s="7">
        <f>39418.6+26067</f>
        <v>65485.599999999999</v>
      </c>
      <c r="F39" s="4">
        <f>E39/D39</f>
        <v>218285.33333333328</v>
      </c>
    </row>
    <row r="40" spans="1:6" s="1" customFormat="1" ht="15.75" x14ac:dyDescent="0.25">
      <c r="A40" s="7">
        <v>4</v>
      </c>
      <c r="B40" s="8" t="s">
        <v>104</v>
      </c>
      <c r="C40" s="8" t="s">
        <v>105</v>
      </c>
      <c r="D40" s="7">
        <f>1</f>
        <v>1</v>
      </c>
      <c r="E40" s="7">
        <f>19929</f>
        <v>19929</v>
      </c>
      <c r="F40" s="4"/>
    </row>
    <row r="41" spans="1:6" s="1" customFormat="1" ht="15.75" x14ac:dyDescent="0.25">
      <c r="A41" s="7">
        <v>5</v>
      </c>
      <c r="B41" s="8" t="s">
        <v>50</v>
      </c>
      <c r="C41" s="8" t="s">
        <v>51</v>
      </c>
      <c r="D41" s="7">
        <f>12+4</f>
        <v>16</v>
      </c>
      <c r="E41" s="7">
        <f>13641.2+4548.6</f>
        <v>18189.800000000003</v>
      </c>
      <c r="F41" s="4">
        <f>E41/D41</f>
        <v>1136.8625000000002</v>
      </c>
    </row>
    <row r="42" spans="1:6" s="1" customFormat="1" ht="15.75" x14ac:dyDescent="0.25">
      <c r="A42" s="7">
        <v>6</v>
      </c>
      <c r="B42" s="8" t="s">
        <v>87</v>
      </c>
      <c r="C42" s="8" t="s">
        <v>51</v>
      </c>
      <c r="D42" s="7">
        <f>2</f>
        <v>2</v>
      </c>
      <c r="E42" s="7">
        <f>3770.8</f>
        <v>3770.8</v>
      </c>
      <c r="F42" s="4"/>
    </row>
    <row r="43" spans="1:6" s="1" customFormat="1" ht="47.25" x14ac:dyDescent="0.25">
      <c r="A43" s="7">
        <v>7</v>
      </c>
      <c r="B43" s="8" t="s">
        <v>82</v>
      </c>
      <c r="C43" s="8" t="s">
        <v>83</v>
      </c>
      <c r="D43" s="7">
        <f>2</f>
        <v>2</v>
      </c>
      <c r="E43" s="7">
        <f>38691.2</f>
        <v>38691.199999999997</v>
      </c>
      <c r="F43" s="4"/>
    </row>
    <row r="44" spans="1:6" s="1" customFormat="1" ht="15.75" x14ac:dyDescent="0.25">
      <c r="A44" s="7">
        <v>8</v>
      </c>
      <c r="B44" s="8" t="s">
        <v>84</v>
      </c>
      <c r="C44" s="8" t="s">
        <v>57</v>
      </c>
      <c r="D44" s="7">
        <f>2</f>
        <v>2</v>
      </c>
      <c r="E44" s="7">
        <f>12595.4</f>
        <v>12595.4</v>
      </c>
      <c r="F44" s="4"/>
    </row>
    <row r="45" spans="1:6" s="1" customFormat="1" ht="31.5" x14ac:dyDescent="0.25">
      <c r="A45" s="7">
        <v>9</v>
      </c>
      <c r="B45" s="8" t="s">
        <v>89</v>
      </c>
      <c r="C45" s="8" t="s">
        <v>90</v>
      </c>
      <c r="D45" s="7">
        <f>0.01</f>
        <v>0.01</v>
      </c>
      <c r="E45" s="7">
        <f>727.8</f>
        <v>727.8</v>
      </c>
      <c r="F45" s="4"/>
    </row>
    <row r="46" spans="1:6" s="1" customFormat="1" ht="63" x14ac:dyDescent="0.25">
      <c r="A46" s="7">
        <v>10</v>
      </c>
      <c r="B46" s="8" t="s">
        <v>91</v>
      </c>
      <c r="C46" s="8" t="s">
        <v>83</v>
      </c>
      <c r="D46" s="7">
        <f>1</f>
        <v>1</v>
      </c>
      <c r="E46" s="7">
        <f>2425.8</f>
        <v>2425.8000000000002</v>
      </c>
      <c r="F46" s="4"/>
    </row>
    <row r="47" spans="1:6" s="1" customFormat="1" ht="63" x14ac:dyDescent="0.25">
      <c r="A47" s="7">
        <v>11</v>
      </c>
      <c r="B47" s="8" t="s">
        <v>92</v>
      </c>
      <c r="C47" s="8" t="s">
        <v>83</v>
      </c>
      <c r="D47" s="7">
        <f>1</f>
        <v>1</v>
      </c>
      <c r="E47" s="7">
        <f>16204</f>
        <v>16204</v>
      </c>
      <c r="F47" s="4"/>
    </row>
    <row r="48" spans="1:6" s="1" customFormat="1" ht="47.25" x14ac:dyDescent="0.25">
      <c r="A48" s="7">
        <v>12</v>
      </c>
      <c r="B48" s="8" t="s">
        <v>38</v>
      </c>
      <c r="C48" s="8" t="s">
        <v>11</v>
      </c>
      <c r="D48" s="7">
        <f>0.02</f>
        <v>0.02</v>
      </c>
      <c r="E48" s="7">
        <f>574</f>
        <v>574</v>
      </c>
      <c r="F48" s="4">
        <f>E48/21</f>
        <v>27.333333333333332</v>
      </c>
    </row>
    <row r="49" spans="1:6" s="1" customFormat="1" ht="78.75" x14ac:dyDescent="0.25">
      <c r="A49" s="7">
        <v>13</v>
      </c>
      <c r="B49" s="8" t="s">
        <v>85</v>
      </c>
      <c r="C49" s="8" t="s">
        <v>58</v>
      </c>
      <c r="D49" s="7">
        <f>0.02</f>
        <v>0.02</v>
      </c>
      <c r="E49" s="7">
        <f>38.8</f>
        <v>38.799999999999997</v>
      </c>
      <c r="F49" s="4"/>
    </row>
    <row r="50" spans="1:6" s="1" customFormat="1" ht="47.25" x14ac:dyDescent="0.25">
      <c r="A50" s="7">
        <v>14</v>
      </c>
      <c r="B50" s="8" t="s">
        <v>86</v>
      </c>
      <c r="C50" s="8" t="s">
        <v>29</v>
      </c>
      <c r="D50" s="7">
        <f>0.02</f>
        <v>0.02</v>
      </c>
      <c r="E50" s="7">
        <f>3225.4</f>
        <v>3225.4</v>
      </c>
      <c r="F50" s="4">
        <f>E50/9</f>
        <v>358.37777777777779</v>
      </c>
    </row>
    <row r="51" spans="1:6" s="1" customFormat="1" ht="15.75" x14ac:dyDescent="0.25">
      <c r="A51" s="7">
        <v>15</v>
      </c>
      <c r="B51" s="8" t="s">
        <v>102</v>
      </c>
      <c r="C51" s="8" t="s">
        <v>51</v>
      </c>
      <c r="D51" s="7">
        <f>21</f>
        <v>21</v>
      </c>
      <c r="E51" s="7">
        <f>1168.6</f>
        <v>1168.5999999999999</v>
      </c>
      <c r="F51" s="4"/>
    </row>
    <row r="52" spans="1:6" s="1" customFormat="1" ht="15.75" x14ac:dyDescent="0.25">
      <c r="A52" s="7">
        <v>16</v>
      </c>
      <c r="B52" s="8" t="s">
        <v>103</v>
      </c>
      <c r="C52" s="8" t="s">
        <v>51</v>
      </c>
      <c r="D52" s="7">
        <f>21</f>
        <v>21</v>
      </c>
      <c r="E52" s="7">
        <f>15796.8</f>
        <v>15796.8</v>
      </c>
      <c r="F52" s="4"/>
    </row>
    <row r="53" spans="1:6" s="1" customFormat="1" ht="78.75" x14ac:dyDescent="0.25">
      <c r="A53" s="7">
        <v>17</v>
      </c>
      <c r="B53" s="8" t="s">
        <v>60</v>
      </c>
      <c r="C53" s="8" t="s">
        <v>58</v>
      </c>
      <c r="D53" s="7">
        <f>0.02</f>
        <v>0.02</v>
      </c>
      <c r="E53" s="7">
        <f>85.8</f>
        <v>85.8</v>
      </c>
      <c r="F53" s="4"/>
    </row>
    <row r="54" spans="1:6" s="1" customFormat="1" ht="47.25" x14ac:dyDescent="0.25">
      <c r="A54" s="7">
        <v>18</v>
      </c>
      <c r="B54" s="8" t="s">
        <v>61</v>
      </c>
      <c r="C54" s="8" t="s">
        <v>29</v>
      </c>
      <c r="D54" s="7">
        <f>0.003</f>
        <v>3.0000000000000001E-3</v>
      </c>
      <c r="E54" s="7">
        <f>4660.4</f>
        <v>4660.3999999999996</v>
      </c>
      <c r="F54" s="4">
        <f>E54/32.5</f>
        <v>143.39692307692306</v>
      </c>
    </row>
    <row r="55" spans="1:6" s="17" customFormat="1" ht="74.25" customHeight="1" x14ac:dyDescent="0.25">
      <c r="A55" s="7">
        <v>19</v>
      </c>
      <c r="B55" s="19" t="s">
        <v>106</v>
      </c>
      <c r="C55" s="15" t="s">
        <v>107</v>
      </c>
      <c r="D55" s="14">
        <f>4+2</f>
        <v>6</v>
      </c>
      <c r="E55" s="14">
        <f>23453.4+12476</f>
        <v>35929.4</v>
      </c>
      <c r="F55" s="16">
        <f>E55/12</f>
        <v>2994.1166666666668</v>
      </c>
    </row>
    <row r="56" spans="1:6" s="17" customFormat="1" ht="47.25" x14ac:dyDescent="0.25">
      <c r="A56" s="7">
        <v>20</v>
      </c>
      <c r="B56" s="15" t="s">
        <v>120</v>
      </c>
      <c r="C56" s="15" t="s">
        <v>11</v>
      </c>
      <c r="D56" s="14">
        <v>0.04</v>
      </c>
      <c r="E56" s="14">
        <f>4228.2</f>
        <v>4228.2</v>
      </c>
      <c r="F56" s="16">
        <f>E56/0.02</f>
        <v>211410</v>
      </c>
    </row>
    <row r="57" spans="1:6" s="17" customFormat="1" ht="47.25" x14ac:dyDescent="0.25">
      <c r="A57" s="7">
        <v>21</v>
      </c>
      <c r="B57" s="15" t="s">
        <v>122</v>
      </c>
      <c r="C57" s="15" t="s">
        <v>11</v>
      </c>
      <c r="D57" s="14">
        <f>0.01</f>
        <v>0.01</v>
      </c>
      <c r="E57" s="14">
        <f>1205.8</f>
        <v>1205.8</v>
      </c>
      <c r="F57" s="16"/>
    </row>
    <row r="58" spans="1:6" s="17" customFormat="1" ht="31.5" x14ac:dyDescent="0.25">
      <c r="A58" s="7">
        <v>22</v>
      </c>
      <c r="B58" s="15" t="s">
        <v>69</v>
      </c>
      <c r="C58" s="15" t="s">
        <v>49</v>
      </c>
      <c r="D58" s="14">
        <f>0.01+0.01</f>
        <v>0.02</v>
      </c>
      <c r="E58" s="14">
        <f>863.8+863.8</f>
        <v>1727.6</v>
      </c>
      <c r="F58" s="16">
        <f>E58/2</f>
        <v>863.8</v>
      </c>
    </row>
    <row r="59" spans="1:6" s="17" customFormat="1" ht="15.75" x14ac:dyDescent="0.25">
      <c r="A59" s="7">
        <v>23</v>
      </c>
      <c r="B59" s="8" t="s">
        <v>98</v>
      </c>
      <c r="C59" s="8" t="s">
        <v>25</v>
      </c>
      <c r="D59" s="14">
        <f>1</f>
        <v>1</v>
      </c>
      <c r="E59" s="14">
        <f>27000</f>
        <v>27000</v>
      </c>
      <c r="F59" s="16">
        <f>E59/1</f>
        <v>27000</v>
      </c>
    </row>
    <row r="60" spans="1:6" s="17" customFormat="1" ht="15.75" x14ac:dyDescent="0.25">
      <c r="A60" s="7">
        <v>24</v>
      </c>
      <c r="B60" s="15" t="s">
        <v>108</v>
      </c>
      <c r="C60" s="15" t="s">
        <v>109</v>
      </c>
      <c r="D60" s="14">
        <f>1</f>
        <v>1</v>
      </c>
      <c r="E60" s="14">
        <f>1902.4</f>
        <v>1902.4</v>
      </c>
      <c r="F60" s="16">
        <f>E60/D60</f>
        <v>1902.4</v>
      </c>
    </row>
    <row r="61" spans="1:6" s="17" customFormat="1" ht="31.5" x14ac:dyDescent="0.25">
      <c r="A61" s="7">
        <v>25</v>
      </c>
      <c r="B61" s="8" t="s">
        <v>110</v>
      </c>
      <c r="C61" s="8" t="s">
        <v>27</v>
      </c>
      <c r="D61" s="14">
        <f>0.01</f>
        <v>0.01</v>
      </c>
      <c r="E61" s="14">
        <f>10948</f>
        <v>10948</v>
      </c>
      <c r="F61" s="16">
        <f>E61/1</f>
        <v>10948</v>
      </c>
    </row>
    <row r="62" spans="1:6" ht="78.75" x14ac:dyDescent="0.25">
      <c r="A62" s="7">
        <v>26</v>
      </c>
      <c r="B62" s="8" t="s">
        <v>67</v>
      </c>
      <c r="C62" s="8" t="s">
        <v>13</v>
      </c>
      <c r="D62" s="7">
        <f>0.078</f>
        <v>7.8E-2</v>
      </c>
      <c r="E62" s="7">
        <f>3501.6</f>
        <v>3501.6</v>
      </c>
      <c r="F62" s="4">
        <f>E62/5.55</f>
        <v>630.91891891891896</v>
      </c>
    </row>
    <row r="63" spans="1:6" s="1" customFormat="1" ht="78.75" x14ac:dyDescent="0.25">
      <c r="A63" s="7">
        <v>27</v>
      </c>
      <c r="B63" s="8" t="s">
        <v>66</v>
      </c>
      <c r="C63" s="8" t="s">
        <v>13</v>
      </c>
      <c r="D63" s="7">
        <f>0.094</f>
        <v>9.4E-2</v>
      </c>
      <c r="E63" s="7">
        <f>1127.8</f>
        <v>1127.8</v>
      </c>
      <c r="F63" s="4">
        <f>E63/4</f>
        <v>281.95</v>
      </c>
    </row>
    <row r="64" spans="1:6" s="1" customFormat="1" ht="15.75" x14ac:dyDescent="0.25">
      <c r="A64" s="7">
        <v>28</v>
      </c>
      <c r="B64" s="8" t="s">
        <v>93</v>
      </c>
      <c r="C64" s="8" t="s">
        <v>59</v>
      </c>
      <c r="D64" s="7">
        <f>0.06</f>
        <v>0.06</v>
      </c>
      <c r="E64" s="7">
        <f>836.4</f>
        <v>836.4</v>
      </c>
      <c r="F64" s="4">
        <f>E64/3</f>
        <v>278.8</v>
      </c>
    </row>
    <row r="65" spans="1:6" s="1" customFormat="1" ht="94.5" x14ac:dyDescent="0.25">
      <c r="A65" s="7">
        <v>29</v>
      </c>
      <c r="B65" s="8" t="s">
        <v>118</v>
      </c>
      <c r="C65" s="8" t="s">
        <v>119</v>
      </c>
      <c r="D65" s="7">
        <f>0.12</f>
        <v>0.12</v>
      </c>
      <c r="E65" s="7">
        <f>2815</f>
        <v>2815</v>
      </c>
      <c r="F65" s="4">
        <f>E65/20</f>
        <v>140.75</v>
      </c>
    </row>
    <row r="66" spans="1:6" s="1" customFormat="1" ht="15.75" x14ac:dyDescent="0.25">
      <c r="A66" s="7">
        <v>30</v>
      </c>
      <c r="B66" s="8" t="s">
        <v>53</v>
      </c>
      <c r="C66" s="8" t="s">
        <v>54</v>
      </c>
      <c r="D66" s="7">
        <f>0.1+0.18</f>
        <v>0.28000000000000003</v>
      </c>
      <c r="E66" s="7">
        <f>912.2+1644</f>
        <v>2556.1999999999998</v>
      </c>
      <c r="F66" s="4">
        <f>E66/0.5</f>
        <v>5112.3999999999996</v>
      </c>
    </row>
    <row r="67" spans="1:6" s="1" customFormat="1" ht="31.5" x14ac:dyDescent="0.25">
      <c r="A67" s="7">
        <v>31</v>
      </c>
      <c r="B67" s="8" t="s">
        <v>44</v>
      </c>
      <c r="C67" s="8" t="s">
        <v>55</v>
      </c>
      <c r="D67" s="7">
        <f>0.03</f>
        <v>0.03</v>
      </c>
      <c r="E67" s="7">
        <f>924.6</f>
        <v>924.6</v>
      </c>
      <c r="F67" s="4">
        <f>E67/18</f>
        <v>51.366666666666667</v>
      </c>
    </row>
    <row r="68" spans="1:6" s="1" customFormat="1" ht="47.25" x14ac:dyDescent="0.25">
      <c r="A68" s="7">
        <v>32</v>
      </c>
      <c r="B68" s="8" t="s">
        <v>39</v>
      </c>
      <c r="C68" s="8" t="s">
        <v>40</v>
      </c>
      <c r="D68" s="7">
        <f>0.02</f>
        <v>0.02</v>
      </c>
      <c r="E68" s="7">
        <f>5632.6</f>
        <v>5632.6</v>
      </c>
      <c r="F68" s="4">
        <f>E68/1</f>
        <v>5632.6</v>
      </c>
    </row>
    <row r="69" spans="1:6" s="1" customFormat="1" ht="47.25" x14ac:dyDescent="0.25">
      <c r="A69" s="7">
        <v>33</v>
      </c>
      <c r="B69" s="8" t="s">
        <v>71</v>
      </c>
      <c r="C69" s="8" t="s">
        <v>72</v>
      </c>
      <c r="D69" s="7">
        <f>0.0032+0.0347+0.0032</f>
        <v>4.1100000000000005E-2</v>
      </c>
      <c r="E69" s="7">
        <f>713.6+5399.6+1021.6</f>
        <v>7134.8000000000011</v>
      </c>
      <c r="F69" s="4">
        <f>E69/1</f>
        <v>7134.8000000000011</v>
      </c>
    </row>
    <row r="70" spans="1:6" s="1" customFormat="1" ht="31.5" x14ac:dyDescent="0.25">
      <c r="A70" s="7">
        <v>34</v>
      </c>
      <c r="B70" s="8" t="s">
        <v>94</v>
      </c>
      <c r="C70" s="8" t="s">
        <v>95</v>
      </c>
      <c r="D70" s="7">
        <f>0.015</f>
        <v>1.4999999999999999E-2</v>
      </c>
      <c r="E70" s="7">
        <f>934.6</f>
        <v>934.6</v>
      </c>
      <c r="F70" s="4">
        <f>E70/1</f>
        <v>934.6</v>
      </c>
    </row>
    <row r="71" spans="1:6" s="1" customFormat="1" ht="31.5" x14ac:dyDescent="0.25">
      <c r="A71" s="7">
        <v>35</v>
      </c>
      <c r="B71" s="8" t="s">
        <v>96</v>
      </c>
      <c r="C71" s="8" t="s">
        <v>97</v>
      </c>
      <c r="D71" s="7">
        <f>1</f>
        <v>1</v>
      </c>
      <c r="E71" s="7">
        <f>8566</f>
        <v>8566</v>
      </c>
      <c r="F71" s="4">
        <f>E71/6</f>
        <v>1427.6666666666667</v>
      </c>
    </row>
    <row r="72" spans="1:6" s="1" customFormat="1" ht="31.5" x14ac:dyDescent="0.25">
      <c r="A72" s="7">
        <v>36</v>
      </c>
      <c r="B72" s="8" t="s">
        <v>111</v>
      </c>
      <c r="C72" s="8" t="s">
        <v>29</v>
      </c>
      <c r="D72" s="7">
        <f>0.11+0.1</f>
        <v>0.21000000000000002</v>
      </c>
      <c r="E72" s="7">
        <f>2060.4+1982</f>
        <v>4042.4</v>
      </c>
      <c r="F72" s="4">
        <f>E72/2.71</f>
        <v>1491.6605166051661</v>
      </c>
    </row>
    <row r="73" spans="1:6" s="1" customFormat="1" ht="15.75" x14ac:dyDescent="0.25">
      <c r="A73" s="7">
        <v>37</v>
      </c>
      <c r="B73" s="8" t="s">
        <v>112</v>
      </c>
      <c r="C73" s="8" t="s">
        <v>57</v>
      </c>
      <c r="D73" s="7">
        <f>6</f>
        <v>6</v>
      </c>
      <c r="E73" s="7">
        <f>35044</f>
        <v>35044</v>
      </c>
      <c r="F73" s="4">
        <f>E73/1</f>
        <v>35044</v>
      </c>
    </row>
    <row r="74" spans="1:6" s="1" customFormat="1" ht="15.75" x14ac:dyDescent="0.25">
      <c r="A74" s="7">
        <v>38</v>
      </c>
      <c r="B74" s="8" t="s">
        <v>121</v>
      </c>
      <c r="C74" s="8" t="s">
        <v>59</v>
      </c>
      <c r="D74" s="7">
        <f>0.01</f>
        <v>0.01</v>
      </c>
      <c r="E74" s="7">
        <f>743</f>
        <v>743</v>
      </c>
      <c r="F74" s="4">
        <f>E74/1</f>
        <v>743</v>
      </c>
    </row>
    <row r="75" spans="1:6" s="1" customFormat="1" ht="31.5" x14ac:dyDescent="0.25">
      <c r="A75" s="7">
        <v>39</v>
      </c>
      <c r="B75" s="8" t="s">
        <v>24</v>
      </c>
      <c r="C75" s="8" t="s">
        <v>12</v>
      </c>
      <c r="D75" s="7">
        <f>0.04+0.06</f>
        <v>0.1</v>
      </c>
      <c r="E75" s="7">
        <f>7407.8+11107.6</f>
        <v>18515.400000000001</v>
      </c>
      <c r="F75" s="4">
        <f>E75/1</f>
        <v>18515.400000000001</v>
      </c>
    </row>
    <row r="76" spans="1:6" s="1" customFormat="1" ht="15.75" x14ac:dyDescent="0.25">
      <c r="A76" s="7">
        <v>40</v>
      </c>
      <c r="B76" s="8" t="s">
        <v>113</v>
      </c>
      <c r="C76" s="8" t="s">
        <v>97</v>
      </c>
      <c r="D76" s="7">
        <f>2</f>
        <v>2</v>
      </c>
      <c r="E76" s="7">
        <f>3392.6</f>
        <v>3392.6</v>
      </c>
      <c r="F76" s="4">
        <f>E76/0.4</f>
        <v>8481.5</v>
      </c>
    </row>
    <row r="77" spans="1:6" s="1" customFormat="1" ht="47.25" x14ac:dyDescent="0.25">
      <c r="A77" s="7">
        <v>41</v>
      </c>
      <c r="B77" s="8" t="s">
        <v>63</v>
      </c>
      <c r="C77" s="8" t="s">
        <v>64</v>
      </c>
      <c r="D77" s="7">
        <f>10</f>
        <v>10</v>
      </c>
      <c r="E77" s="7">
        <f>6500</f>
        <v>6500</v>
      </c>
      <c r="F77" s="4"/>
    </row>
    <row r="78" spans="1:6" s="1" customFormat="1" ht="31.5" x14ac:dyDescent="0.25">
      <c r="A78" s="7">
        <v>42</v>
      </c>
      <c r="B78" s="8" t="s">
        <v>42</v>
      </c>
      <c r="C78" s="8" t="s">
        <v>43</v>
      </c>
      <c r="D78" s="7">
        <f>10+70+30</f>
        <v>110</v>
      </c>
      <c r="E78" s="7">
        <f>500+3500+1250</f>
        <v>5250</v>
      </c>
      <c r="F78" s="4">
        <f>E78/D78</f>
        <v>47.727272727272727</v>
      </c>
    </row>
    <row r="79" spans="1:6" s="1" customFormat="1" ht="15.75" x14ac:dyDescent="0.25">
      <c r="A79" s="7"/>
      <c r="B79" s="8"/>
      <c r="C79" s="8"/>
      <c r="D79" s="7"/>
      <c r="E79" s="9">
        <f>SUM(E37:E78)</f>
        <v>458270.79999999993</v>
      </c>
      <c r="F79" s="4"/>
    </row>
    <row r="80" spans="1:6" ht="15.75" x14ac:dyDescent="0.25">
      <c r="A80" s="7"/>
      <c r="B80" s="8" t="s">
        <v>8</v>
      </c>
      <c r="C80" s="7"/>
      <c r="D80" s="7"/>
      <c r="E80" s="9">
        <f>E35+E79</f>
        <v>1152258.3999999999</v>
      </c>
      <c r="F80" s="4"/>
    </row>
    <row r="81" spans="1:10" ht="15.75" x14ac:dyDescent="0.25">
      <c r="A81" s="7"/>
      <c r="B81" s="8"/>
      <c r="C81" s="7"/>
      <c r="D81" s="7"/>
      <c r="E81" s="7"/>
      <c r="F81" s="4"/>
    </row>
    <row r="82" spans="1:10" ht="15.75" x14ac:dyDescent="0.25">
      <c r="A82" s="10"/>
      <c r="B82" s="10"/>
      <c r="C82" s="10"/>
      <c r="D82" s="10"/>
      <c r="E82" s="10"/>
      <c r="F82" s="4"/>
      <c r="J82" t="s">
        <v>30</v>
      </c>
    </row>
    <row r="83" spans="1:10" ht="15.75" x14ac:dyDescent="0.25">
      <c r="A83" s="10"/>
      <c r="B83" s="10" t="s">
        <v>15</v>
      </c>
      <c r="C83" s="10" t="s">
        <v>32</v>
      </c>
      <c r="D83" s="10"/>
      <c r="E83" s="10"/>
      <c r="F83" s="1"/>
    </row>
    <row r="84" spans="1:10" x14ac:dyDescent="0.25">
      <c r="A84" s="2"/>
      <c r="B84" s="2"/>
      <c r="C84" s="2"/>
      <c r="D84" s="2"/>
      <c r="E84" s="2"/>
      <c r="F84" s="1"/>
    </row>
    <row r="85" spans="1:10" x14ac:dyDescent="0.25">
      <c r="A85" s="2"/>
      <c r="B85" s="2"/>
      <c r="C85" s="2"/>
      <c r="D85" s="2"/>
      <c r="E85" s="2"/>
      <c r="F85" s="1"/>
    </row>
    <row r="86" spans="1:10" x14ac:dyDescent="0.25">
      <c r="A86" s="2"/>
      <c r="B86" s="2" t="s">
        <v>16</v>
      </c>
      <c r="C86" s="2"/>
      <c r="D86" s="18"/>
      <c r="E86" s="2" t="s">
        <v>41</v>
      </c>
      <c r="F86" s="13"/>
      <c r="G86" s="13"/>
    </row>
    <row r="87" spans="1:10" x14ac:dyDescent="0.25">
      <c r="A87" s="2"/>
      <c r="B87" s="2"/>
      <c r="C87" s="2" t="s">
        <v>33</v>
      </c>
      <c r="D87" s="18">
        <f>30981+33519+361888.2+40393.2+53139.6+73481.4+43868.8+56716.4</f>
        <v>693987.60000000009</v>
      </c>
      <c r="E87" s="2"/>
      <c r="F87" s="13"/>
      <c r="G87" s="13"/>
    </row>
    <row r="88" spans="1:10" x14ac:dyDescent="0.25">
      <c r="A88" s="2"/>
      <c r="B88" s="2"/>
      <c r="C88" s="2" t="s">
        <v>34</v>
      </c>
      <c r="D88" s="18">
        <f>13085.4+0+160166.6+33276.2+153473.6+11244.4+62450.6+24574</f>
        <v>458270.80000000005</v>
      </c>
      <c r="E88" s="2"/>
      <c r="F88" s="13"/>
      <c r="G88" s="13"/>
    </row>
    <row r="89" spans="1:10" x14ac:dyDescent="0.25">
      <c r="A89" s="2"/>
      <c r="B89" s="2"/>
      <c r="C89" s="2"/>
      <c r="D89" s="18">
        <f>D87+D88</f>
        <v>1152258.4000000001</v>
      </c>
      <c r="E89" s="2"/>
      <c r="F89" s="13"/>
      <c r="G89" s="13"/>
    </row>
    <row r="90" spans="1:10" x14ac:dyDescent="0.25">
      <c r="A90" s="2"/>
      <c r="B90" s="2"/>
      <c r="C90" s="2" t="s">
        <v>35</v>
      </c>
      <c r="D90" s="18">
        <f>44066.4+33519+522054.8+73669.4+206613.2+84725.8+106319.4+81290.4</f>
        <v>1152258.3999999999</v>
      </c>
      <c r="E90" s="18"/>
    </row>
    <row r="91" spans="1:10" x14ac:dyDescent="0.25">
      <c r="A91" s="2"/>
      <c r="B91" s="2"/>
      <c r="C91" s="2"/>
      <c r="D91" s="2"/>
      <c r="E91" s="2"/>
    </row>
    <row r="92" spans="1:10" x14ac:dyDescent="0.25">
      <c r="A92" s="2"/>
      <c r="B92" s="2"/>
      <c r="C92" s="2"/>
      <c r="D92" s="18"/>
      <c r="E92" s="18"/>
    </row>
    <row r="93" spans="1:10" x14ac:dyDescent="0.25">
      <c r="A93" s="2"/>
      <c r="B93" s="2"/>
      <c r="C93" s="2"/>
      <c r="D93" s="2"/>
      <c r="E93" s="2"/>
    </row>
    <row r="94" spans="1:10" x14ac:dyDescent="0.25">
      <c r="A94" s="2"/>
      <c r="B94" s="2"/>
      <c r="C94" s="2"/>
      <c r="D94" s="2"/>
      <c r="E94" s="2"/>
    </row>
    <row r="95" spans="1:10" x14ac:dyDescent="0.25">
      <c r="A95" s="2"/>
      <c r="B95" s="2"/>
      <c r="C95" s="2"/>
      <c r="D95" s="2"/>
      <c r="E95" s="2"/>
    </row>
    <row r="96" spans="1:10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237" spans="7:7" x14ac:dyDescent="0.25">
      <c r="G1237" t="s">
        <v>31</v>
      </c>
    </row>
    <row r="1239" spans="7:7" x14ac:dyDescent="0.25">
      <c r="G1239" t="s">
        <v>28</v>
      </c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2023-01-23T13:34:11Z</cp:lastPrinted>
  <dcterms:created xsi:type="dcterms:W3CDTF">2016-09-29T06:37:31Z</dcterms:created>
  <dcterms:modified xsi:type="dcterms:W3CDTF">2023-01-23T13:34:26Z</dcterms:modified>
</cp:coreProperties>
</file>