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49" i="1" l="1"/>
  <c r="E33" i="1"/>
  <c r="E21" i="1"/>
  <c r="D127" i="1"/>
  <c r="D125" i="1"/>
  <c r="D124" i="1"/>
  <c r="E113" i="1" l="1"/>
  <c r="D113" i="1"/>
  <c r="E111" i="1"/>
  <c r="D111" i="1"/>
  <c r="E112" i="1"/>
  <c r="D112" i="1"/>
  <c r="E104" i="1"/>
  <c r="D104" i="1"/>
  <c r="E103" i="1"/>
  <c r="D103" i="1"/>
  <c r="D102" i="1"/>
  <c r="E102" i="1"/>
  <c r="E91" i="1"/>
  <c r="D91" i="1"/>
  <c r="E92" i="1"/>
  <c r="D92" i="1"/>
  <c r="D49" i="1"/>
  <c r="D33" i="1"/>
  <c r="E47" i="1"/>
  <c r="D47" i="1"/>
  <c r="E57" i="1"/>
  <c r="D57" i="1"/>
  <c r="E105" i="1"/>
  <c r="D105" i="1"/>
  <c r="E94" i="1"/>
  <c r="D94" i="1"/>
  <c r="E12" i="1"/>
  <c r="E10" i="1"/>
  <c r="D10" i="1"/>
  <c r="E23" i="1"/>
  <c r="D23" i="1"/>
  <c r="D21" i="1"/>
  <c r="E22" i="1"/>
  <c r="E88" i="1" l="1"/>
  <c r="D88" i="1"/>
  <c r="E43" i="1"/>
  <c r="D43" i="1"/>
  <c r="E58" i="1"/>
  <c r="D58" i="1"/>
  <c r="E40" i="1"/>
  <c r="D40" i="1"/>
  <c r="E55" i="1"/>
  <c r="D55" i="1"/>
  <c r="E38" i="1"/>
  <c r="D38" i="1"/>
  <c r="E29" i="1" l="1"/>
  <c r="E28" i="1"/>
  <c r="E25" i="1"/>
  <c r="E24" i="1"/>
  <c r="E20" i="1"/>
  <c r="E19" i="1"/>
  <c r="E18" i="1"/>
  <c r="E17" i="1"/>
  <c r="E15" i="1"/>
  <c r="E11" i="1"/>
  <c r="E30" i="1" l="1"/>
  <c r="E93" i="1"/>
  <c r="D93" i="1"/>
  <c r="E83" i="1"/>
  <c r="D83" i="1"/>
  <c r="E59" i="1"/>
  <c r="D59" i="1"/>
  <c r="E62" i="1"/>
  <c r="D62" i="1"/>
  <c r="E61" i="1"/>
  <c r="D61" i="1"/>
  <c r="E60" i="1"/>
  <c r="D60" i="1"/>
  <c r="D25" i="1"/>
  <c r="E32" i="1" l="1"/>
  <c r="D32" i="1"/>
  <c r="E51" i="1" l="1"/>
  <c r="D51" i="1"/>
  <c r="E65" i="1"/>
  <c r="D65" i="1"/>
  <c r="E64" i="1"/>
  <c r="D64" i="1"/>
  <c r="E63" i="1"/>
  <c r="D63" i="1"/>
  <c r="E34" i="1"/>
  <c r="D34" i="1"/>
  <c r="E41" i="1"/>
  <c r="D41" i="1"/>
  <c r="E39" i="1"/>
  <c r="D39" i="1"/>
  <c r="E35" i="1"/>
  <c r="D35" i="1"/>
  <c r="E37" i="1"/>
  <c r="E36" i="1"/>
  <c r="E45" i="1" l="1"/>
  <c r="D45" i="1"/>
  <c r="E46" i="1"/>
  <c r="D46" i="1"/>
  <c r="E48" i="1"/>
  <c r="D48" i="1"/>
  <c r="D26" i="1"/>
  <c r="E114" i="1" l="1"/>
  <c r="D114" i="1"/>
  <c r="E100" i="1"/>
  <c r="E90" i="1"/>
  <c r="D90" i="1"/>
  <c r="E52" i="1"/>
  <c r="D52" i="1"/>
  <c r="E99" i="1" l="1"/>
  <c r="D99" i="1"/>
  <c r="E98" i="1"/>
  <c r="D98" i="1"/>
  <c r="E97" i="1"/>
  <c r="D97" i="1"/>
  <c r="E96" i="1"/>
  <c r="D96" i="1"/>
  <c r="E95" i="1"/>
  <c r="D95" i="1"/>
  <c r="D18" i="1"/>
  <c r="D17" i="1"/>
  <c r="D19" i="1"/>
  <c r="D20" i="1"/>
  <c r="D16" i="1"/>
  <c r="D14" i="1"/>
  <c r="D13" i="1"/>
  <c r="E87" i="1" l="1"/>
  <c r="D87" i="1"/>
  <c r="E82" i="1"/>
  <c r="D82" i="1"/>
  <c r="E86" i="1"/>
  <c r="D86" i="1"/>
  <c r="E85" i="1"/>
  <c r="E84" i="1"/>
  <c r="D84" i="1"/>
  <c r="E89" i="1"/>
  <c r="D89" i="1"/>
  <c r="E81" i="1"/>
  <c r="D81" i="1"/>
  <c r="E80" i="1"/>
  <c r="D80" i="1"/>
  <c r="E67" i="1"/>
  <c r="D67" i="1"/>
  <c r="E70" i="1"/>
  <c r="D7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69" i="1"/>
  <c r="D69" i="1"/>
  <c r="E68" i="1"/>
  <c r="D68" i="1"/>
  <c r="E110" i="1"/>
  <c r="D110" i="1"/>
  <c r="E56" i="1"/>
  <c r="D56" i="1"/>
  <c r="E50" i="1"/>
  <c r="D50" i="1"/>
  <c r="D29" i="1"/>
  <c r="E106" i="1"/>
  <c r="D106" i="1"/>
  <c r="E101" i="1"/>
  <c r="D101" i="1"/>
  <c r="E115" i="1" l="1"/>
  <c r="D126" i="1"/>
  <c r="E116" i="1" l="1"/>
</calcChain>
</file>

<file path=xl/sharedStrings.xml><?xml version="1.0" encoding="utf-8"?>
<sst xmlns="http://schemas.openxmlformats.org/spreadsheetml/2006/main" count="230" uniqueCount="167">
  <si>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</si>
  <si>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</si>
  <si>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</si>
  <si>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</si>
  <si>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</si>
  <si>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</si>
  <si>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</si>
  <si>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</si>
  <si>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</si>
  <si>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</si>
  <si>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</si>
  <si>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</si>
  <si>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</si>
  <si>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100м2 окрашиваемой поверхности</t>
  </si>
  <si>
    <t>Гидравлическое испытание трубопроводов систем отопления диам.до 50мм</t>
  </si>
  <si>
    <t>Гидравлическое испытание трубопроводов систем отопления диам.до 100мм</t>
  </si>
  <si>
    <t>Директор</t>
  </si>
  <si>
    <t>Исп.Захарова О.Е.</t>
  </si>
  <si>
    <t>Установка манометров</t>
  </si>
  <si>
    <t>1 компл.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</si>
  <si>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</si>
  <si>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</si>
  <si>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</si>
  <si>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</si>
  <si>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</si>
  <si>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</si>
  <si>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</si>
  <si>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10 фильтров</t>
  </si>
  <si>
    <t>100 сгонов</t>
  </si>
  <si>
    <t>шт</t>
  </si>
  <si>
    <t>100м3 воды</t>
  </si>
  <si>
    <t>100шт приб.</t>
  </si>
  <si>
    <t>100м трубопровода с фасонными частями</t>
  </si>
  <si>
    <t>100м2 отремон.поверхности</t>
  </si>
  <si>
    <t>,</t>
  </si>
  <si>
    <t>Демонтаж грязевиков</t>
  </si>
  <si>
    <t>1шт.</t>
  </si>
  <si>
    <t>100м</t>
  </si>
  <si>
    <t xml:space="preserve"> 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</si>
  <si>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</si>
  <si>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</si>
  <si>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</si>
  <si>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</si>
  <si>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</si>
  <si>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</si>
  <si>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>1 врезка</t>
  </si>
  <si>
    <t>Водоотлив  из подвала электрическими насосами</t>
  </si>
  <si>
    <t>Врезка в действующие внутренние сети трубопроводов отопления и водоснабжения диам.32мм</t>
  </si>
  <si>
    <t>Врезка в действующие внутренние сети трубопроводов отопления и водоснабжения диам.15мм</t>
  </si>
  <si>
    <t>Врезка в действующие внутренние сети трубопроводов отопления и водоснабжения диам.20мм</t>
  </si>
  <si>
    <t>Смена сгонов у трубопроводов диам. до 20 мм</t>
  </si>
  <si>
    <t>Смена сгонов у трубопроводов диам. до 32 мм</t>
  </si>
  <si>
    <t>Гидравлическое испытание аппарата с внутренней трубчаткой</t>
  </si>
  <si>
    <t xml:space="preserve">                                        по улице Талсинская </t>
  </si>
  <si>
    <t>Врезка в действующие внутренние сети трубопроводов отопления и водоснабжения диам.25мм</t>
  </si>
  <si>
    <t>Установка грязевиков наружным диаметром патрубков до 108 мм после прочистки</t>
  </si>
  <si>
    <t>Установка хомутов диаметром трубопроводов до 100мм на ЦО,ГВС</t>
  </si>
  <si>
    <t>Улучшенная масляная окраска ранее окрашенных стен за 2 раза с расчиткой старой краски до 10%(сапожок)</t>
  </si>
  <si>
    <t>Смена внутренних трубопроводов  с заготовкой труб в построечных условиях  диам.до 20мм</t>
  </si>
  <si>
    <t>Смена дверных приборов :замки навесные</t>
  </si>
  <si>
    <t>Смена внутренних трубопроводов из стальных труб диам.до 50мм</t>
  </si>
  <si>
    <t>Установка мусорного контейнера</t>
  </si>
  <si>
    <t>Прокладка внутренних трубопроводов водоснабжения и отопления из полипропиленовых труб 25мм</t>
  </si>
  <si>
    <t>Смена трубопроводов из чугунных канализационных труб диам.100мм</t>
  </si>
  <si>
    <t>Установка дверного доводчика</t>
  </si>
  <si>
    <t>Разборка трубопроводов из водогазопроводов труб диаметром до 32 мм</t>
  </si>
  <si>
    <t>Установка насоса</t>
  </si>
  <si>
    <t>1насос</t>
  </si>
  <si>
    <t>Механизированная уборка снега на придомовой территории</t>
  </si>
  <si>
    <t>мин</t>
  </si>
  <si>
    <t>Прочистка фильтров ЦО диам.100мм</t>
  </si>
  <si>
    <t>Смена внутренних трубопроводов  с заготовкой труб в построечных условиях  диам.до 32мм</t>
  </si>
  <si>
    <t>м3</t>
  </si>
  <si>
    <t>Услуги трактора,экскаватора-погрузчика,самосвала,погрузка и вывоз снега со складированием</t>
  </si>
  <si>
    <t>Смена внутренних трубопроводов из стальных труб диам.до 20мм</t>
  </si>
  <si>
    <t>Смена внутренних трубопроводов из стальных труб диам.до 25мм</t>
  </si>
  <si>
    <t>Смена стекол</t>
  </si>
  <si>
    <t>100м2</t>
  </si>
  <si>
    <t>Смена внутренних трубопроводов из стальных труб диам.до 15мм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</si>
  <si>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диаметр:25мм</t>
  </si>
  <si>
    <t>100 соединений</t>
  </si>
  <si>
    <t>Устройство стяжек цементных толщиной 20мм</t>
  </si>
  <si>
    <t>100м2 стяжки</t>
  </si>
  <si>
    <t>Устройство бетонных плитных крылец с заполнением швов цементным раствором</t>
  </si>
  <si>
    <t>Резка тротуарной плитки толщиной 35мм угловой шлифовальной машинкой</t>
  </si>
  <si>
    <t>1м реза</t>
  </si>
  <si>
    <t>Приготовление раствора вручную цементного</t>
  </si>
  <si>
    <t>1м3 раствора</t>
  </si>
  <si>
    <t>м2</t>
  </si>
  <si>
    <t>Окраска масляными составами ранее окрашенных металлических поверхностей  радиаторов стальных за 2 раза</t>
  </si>
  <si>
    <t>Усиление сварных швов наплавкой</t>
  </si>
  <si>
    <t>1м шва</t>
  </si>
  <si>
    <t>Установка регистров из стальных сварных труб диаметром нитки 80мм</t>
  </si>
  <si>
    <t>100 м труб нитки регистра</t>
  </si>
  <si>
    <t>Смена оконных приборов :ручки</t>
  </si>
  <si>
    <t>имущества МКД, выполненных за 2022  года на жилом доме № 25</t>
  </si>
  <si>
    <t>Очистка канализационной сети дворовой</t>
  </si>
  <si>
    <t>Смена выключателей</t>
  </si>
  <si>
    <t>100шт. приборов</t>
  </si>
  <si>
    <t>Смена дверных приборов:ушки</t>
  </si>
  <si>
    <t>Короба пластмассовые шириной до 40мм</t>
  </si>
  <si>
    <t>1 соединение</t>
  </si>
  <si>
    <t>Установка и крепление наличников</t>
  </si>
  <si>
    <t>100м коробок блоков</t>
  </si>
  <si>
    <t>Усиление сварных швов (наплавкой)</t>
  </si>
  <si>
    <t>1 м шва</t>
  </si>
  <si>
    <t>Укладка металлического накладного профиля</t>
  </si>
  <si>
    <t>100м профиля</t>
  </si>
  <si>
    <t>Смена стекол толщиной 4-6мм  при площади стекол до 0,25м2</t>
  </si>
  <si>
    <t>Смена стекол толщиной 4-6мм  при площади стекол до 0,5м2</t>
  </si>
  <si>
    <t>100м2 остекления</t>
  </si>
  <si>
    <t>Смена стекол толщиной 4-6мм  при площади стекол до 1,0м2</t>
  </si>
  <si>
    <t>Ремонт дверных полотен со сменой брусков обвязки горизонтальных на сопряжения нижних</t>
  </si>
  <si>
    <t>Смена внутренних трубопроводов из стальных труб диам.до 40мм</t>
  </si>
  <si>
    <t>Смена внутренних трубопроводов  с заготовкой труб в построечных условиях  диам.до 80мм</t>
  </si>
  <si>
    <t>Смена кранов на шаровые краны диам.15,20,25  мм</t>
  </si>
  <si>
    <t>Ремонт и восстановление уплотнения стыков прокладками ПРП в 1 ряд в стенах,оконных,дверных и балконных блоках насухо</t>
  </si>
  <si>
    <t>100м восстановленной герметизации</t>
  </si>
  <si>
    <t>Смена задвижек диаметром 80мм</t>
  </si>
  <si>
    <t>Демонтаж уголков обрамления</t>
  </si>
  <si>
    <t>Улучшенная масляная окраска ранее окрашенных фасадов с расчисткой старой краски до10% с земли и лесов(пандус)</t>
  </si>
  <si>
    <t>Окраска масляными составами ранее окрашенных больших металлических поверхностей(кроме крыш) за 2 раза</t>
  </si>
  <si>
    <t>Улучшенная масляная окраска ранее окрашенных дверей за 2 раза с расчисткой старой краски до 10%</t>
  </si>
  <si>
    <t>Ремонт штукатурки внутренних стен по камню раствором площадью отдельных мест до 1м2 толщиной слоя до 20мм</t>
  </si>
  <si>
    <t>Ремонт штукатурки откосов внутри здания по камню и бетону раствором прямолинейных</t>
  </si>
  <si>
    <t>Ремонт штукатурки лестничных маршей и площадок</t>
  </si>
  <si>
    <t>Окраска масляными составами ранее окрашенных больших металлических поверхностей(кроме крыш) за 2 раза(портал лифта)</t>
  </si>
  <si>
    <t xml:space="preserve">Расчистка поверхностей шпателем,щетками от старых покрасок потолков </t>
  </si>
  <si>
    <t>Окраска водно-дисперсионными акриловыми составами улучшенная по штукатурке потолков</t>
  </si>
  <si>
    <t xml:space="preserve">Расчистка поверхностей шпателем,щетками от старых покрасок стен </t>
  </si>
  <si>
    <t>Окраска водно-дисперсионными акриловыми составами улучшенная по штукатурке стен и откосов</t>
  </si>
  <si>
    <t>Окраска масляными составами ранее окрашенных металлических решеток и оград без рельефа за 2 раза</t>
  </si>
  <si>
    <t>Окраска масляными составами торцов лестничных маршей</t>
  </si>
  <si>
    <t>Окраска масляными составами ранее окрашенных металлических санитарно-технических приборов и других металлических поверхностей площадью до 0,25м2 за 2 раза(электрические щитки)</t>
  </si>
  <si>
    <t>Окраска масляными составами ранее окрашенных поверхностей труб стальных за 2 раза</t>
  </si>
  <si>
    <t>Демонтаж почтовых ящиков</t>
  </si>
  <si>
    <t>Установка ящиков почтовых стальных,окрашенных эмалью с креплением к стенам лестничных клеток</t>
  </si>
  <si>
    <t>Улучшенная масляная окраска ранее окрашенных окон за 2 раза с расчисткой старой краски до 10%</t>
  </si>
  <si>
    <t>Демонтаж элеваторов номер 1-5</t>
  </si>
  <si>
    <t>Установка элеваторов номером1,2 после ревизии и прочистки</t>
  </si>
  <si>
    <t>10шт.</t>
  </si>
  <si>
    <t>Прочистка фильтров ЦО диам.80мм</t>
  </si>
  <si>
    <t>Смена внутренних трубопроводов  с заготовкой труб в построечных условиях  диам.до 100мм</t>
  </si>
  <si>
    <t>Установка  фланцевых соединений на стальных трубопроводах диам.100мм</t>
  </si>
  <si>
    <t>Смена задвижек диаметром 100мм</t>
  </si>
  <si>
    <t>100 брусков</t>
  </si>
  <si>
    <t>Водоотлив  из подвала ведрами</t>
  </si>
  <si>
    <t xml:space="preserve">Очистка внутренней поверхности:теплообменного аппарата </t>
  </si>
  <si>
    <t>Установка фланцевых соединений на стальных трубопроводах диам. 80мм</t>
  </si>
  <si>
    <t>1 соед.</t>
  </si>
  <si>
    <t>Установка фланцевых соединений на стальных трубопроводах диам. 100мм</t>
  </si>
  <si>
    <t>Изготовление элементов и сборка узлов стальных трубопроводов диам. 100мм</t>
  </si>
  <si>
    <t>10м трубопровода</t>
  </si>
  <si>
    <t>Выполнение работ(оказание услуг) по организации государственной поверки приборов учета тепловой энергии</t>
  </si>
  <si>
    <t>услуга</t>
  </si>
  <si>
    <t xml:space="preserve">  </t>
  </si>
  <si>
    <t>Смена дверных приборов:крючок накидной</t>
  </si>
  <si>
    <t>100шт.приб.</t>
  </si>
  <si>
    <t>Механизированная обработка придомовой территории ПСС</t>
  </si>
  <si>
    <t>Установка розеток</t>
  </si>
  <si>
    <t>100штук</t>
  </si>
  <si>
    <t>Прокладка провода</t>
  </si>
  <si>
    <t>Ремонт дверного доводчика</t>
  </si>
  <si>
    <t>Смена дверных приборов :петли</t>
  </si>
  <si>
    <t>Смена дверных приборов :пружины</t>
  </si>
  <si>
    <t>Смена дверных приборов :крючок накидной</t>
  </si>
  <si>
    <t>раз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</si>
</sst>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distributed"/>
    </xf>
    <xf numFmtId="0" fontId="2" fillId="2" borderId="0" xfId="0" applyFont="1" applyFill="1"/>
    <xf numFmtId="0" fontId="0" fillId="2" borderId="0" xfId="0" applyFill="1"/>
    <xf numFmtId="2" fontId="0" fillId="0" borderId="0" xfId="0" applyNumberFormat="1" applyBorder="1"/>
    <xf numFmtId="2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6"/>
  <sheetViews>
    <sheetView tabSelected="1" zoomScale="136" zoomScaleNormal="136" workbookViewId="0">
      <selection activeCell="A122" sqref="A1:E122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2.85546875" customWidth="1"/>
    <col min="5" max="5" width="13.140625" customWidth="1"/>
    <col min="6" max="6" width="10.85546875" customWidth="1"/>
    <col min="7" max="7" width="11.7109375" customWidth="1"/>
    <col min="9" max="9" width="11.5703125" customWidth="1"/>
    <col min="11" max="11" width="12.28515625" customWidth="1"/>
  </cols>
  <sheetData>
    <row r="1" spans="1:8" ht="15.75" x14ac:dyDescent="0.25">
      <c r="A1" s="4"/>
      <c r="B1" s="4"/>
      <c r="C1" s="4"/>
      <c r="D1" s="4"/>
      <c r="E1" s="4"/>
      <c r="F1" s="1"/>
    </row>
    <row r="2" spans="1:8" ht="15.75" x14ac:dyDescent="0.25">
      <c r="A2" s="4"/>
      <c r="B2" s="3" t="s">
        <v>0</v>
      </c>
      <c r="C2" s="3"/>
      <c r="D2" s="4"/>
      <c r="E2" s="4"/>
      <c r="F2" s="1"/>
    </row>
    <row r="3" spans="1:8" ht="15.75" x14ac:dyDescent="0.25">
      <c r="A3" s="4"/>
      <c r="B3" s="3" t="s">
        <v>20</v>
      </c>
      <c r="C3" s="3"/>
      <c r="D3" s="3"/>
      <c r="E3" s="3"/>
      <c r="F3" s="1"/>
    </row>
    <row r="4" spans="1:8" ht="15.75" x14ac:dyDescent="0.25">
      <c r="A4" s="4"/>
      <c r="B4" s="3" t="s">
        <v>95</v>
      </c>
      <c r="C4" s="3"/>
      <c r="D4" s="3"/>
      <c r="E4" s="3"/>
      <c r="F4" s="1"/>
    </row>
    <row r="5" spans="1:8" ht="15.75" x14ac:dyDescent="0.25">
      <c r="A5" s="4"/>
      <c r="B5" s="3" t="s">
        <v>53</v>
      </c>
      <c r="C5" s="3"/>
      <c r="D5" s="3"/>
      <c r="E5" s="3"/>
      <c r="F5" s="1"/>
    </row>
    <row r="6" spans="1:8" ht="15.75" x14ac:dyDescent="0.25">
      <c r="A6" s="4"/>
      <c r="B6" s="4"/>
      <c r="C6" s="4"/>
      <c r="D6" s="4"/>
      <c r="E6" s="4"/>
      <c r="F6" s="1"/>
    </row>
    <row r="7" spans="1:8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8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8" s="1" customFormat="1" ht="15.75" x14ac:dyDescent="0.25">
      <c r="A9" s="6"/>
      <c r="B9" s="11" t="s">
        <v>9</v>
      </c>
      <c r="C9" s="6"/>
      <c r="D9" s="6"/>
      <c r="E9" s="6"/>
      <c r="F9" s="7"/>
    </row>
    <row r="10" spans="1:8" ht="15.75" x14ac:dyDescent="0.25">
      <c r="A10" s="7">
        <v>1</v>
      </c>
      <c r="B10" s="8" t="s">
        <v>44</v>
      </c>
      <c r="C10" s="8" t="s">
        <v>12</v>
      </c>
      <c r="D10" s="7">
        <f>0.08+0.04+0.01+0.18+0.06+0.18+0.01+0.03</f>
        <v>0.59000000000000008</v>
      </c>
      <c r="E10" s="7">
        <f>1453+293.4+582.4+144.6+2697.6+898.6+2768+154.8+462.4</f>
        <v>9454.7999999999993</v>
      </c>
      <c r="F10" s="7"/>
    </row>
    <row r="11" spans="1:8" s="1" customFormat="1" ht="15.75" x14ac:dyDescent="0.25">
      <c r="A11" s="7">
        <v>2</v>
      </c>
      <c r="B11" s="8" t="s">
        <v>97</v>
      </c>
      <c r="C11" s="8" t="s">
        <v>12</v>
      </c>
      <c r="D11" s="7">
        <v>0.01</v>
      </c>
      <c r="E11" s="7">
        <f>218.8</f>
        <v>218.8</v>
      </c>
      <c r="F11" s="7"/>
    </row>
    <row r="12" spans="1:8" s="1" customFormat="1" ht="47.25" x14ac:dyDescent="0.25">
      <c r="A12" s="7">
        <v>3</v>
      </c>
      <c r="B12" s="8" t="s">
        <v>25</v>
      </c>
      <c r="C12" s="8" t="s">
        <v>26</v>
      </c>
      <c r="D12" s="7">
        <v>0.72</v>
      </c>
      <c r="E12" s="7">
        <f>2333.6+2333.6+2376.4+2376.4+2376.4+2376.4+2558.2+2558.2+2558.2+2737.6+2737.6+2737.6</f>
        <v>30060.199999999997</v>
      </c>
      <c r="F12" s="7"/>
    </row>
    <row r="13" spans="1:8" ht="47.25" x14ac:dyDescent="0.25">
      <c r="A13" s="7">
        <v>4</v>
      </c>
      <c r="B13" s="8" t="s">
        <v>14</v>
      </c>
      <c r="C13" s="8" t="s">
        <v>11</v>
      </c>
      <c r="D13" s="7">
        <f>59.62</f>
        <v>59.62</v>
      </c>
      <c r="E13" s="7">
        <v>411726.6</v>
      </c>
      <c r="F13" s="7"/>
    </row>
    <row r="14" spans="1:8" ht="47.25" x14ac:dyDescent="0.25">
      <c r="A14" s="7">
        <v>5</v>
      </c>
      <c r="B14" s="8" t="s">
        <v>15</v>
      </c>
      <c r="C14" s="8" t="s">
        <v>11</v>
      </c>
      <c r="D14" s="7">
        <f>4.2</f>
        <v>4.2</v>
      </c>
      <c r="E14" s="7">
        <v>29386.2</v>
      </c>
      <c r="F14" s="7"/>
      <c r="H14" t="s">
        <v>155</v>
      </c>
    </row>
    <row r="15" spans="1:8" s="1" customFormat="1" ht="15.75" x14ac:dyDescent="0.25">
      <c r="A15" s="7">
        <v>6</v>
      </c>
      <c r="B15" s="8" t="s">
        <v>138</v>
      </c>
      <c r="C15" s="8" t="s">
        <v>12</v>
      </c>
      <c r="D15" s="7">
        <v>0.01</v>
      </c>
      <c r="E15" s="7">
        <f>713</f>
        <v>713</v>
      </c>
      <c r="F15" s="7"/>
    </row>
    <row r="16" spans="1:8" s="1" customFormat="1" ht="31.5" x14ac:dyDescent="0.25">
      <c r="A16" s="7">
        <v>7</v>
      </c>
      <c r="B16" s="8" t="s">
        <v>139</v>
      </c>
      <c r="C16" s="8" t="s">
        <v>140</v>
      </c>
      <c r="D16" s="7">
        <f>0.1</f>
        <v>0.1</v>
      </c>
      <c r="E16" s="7">
        <v>6703.8</v>
      </c>
      <c r="F16" s="7"/>
    </row>
    <row r="17" spans="1:9" s="1" customFormat="1" ht="15.75" x14ac:dyDescent="0.25">
      <c r="A17" s="7">
        <v>8</v>
      </c>
      <c r="B17" s="8" t="s">
        <v>35</v>
      </c>
      <c r="C17" s="8" t="s">
        <v>12</v>
      </c>
      <c r="D17" s="7">
        <f>0.04+0.01</f>
        <v>0.05</v>
      </c>
      <c r="E17" s="7">
        <f>4498.2+1124.6</f>
        <v>5622.7999999999993</v>
      </c>
      <c r="F17" s="7"/>
    </row>
    <row r="18" spans="1:9" s="1" customFormat="1" ht="31.5" x14ac:dyDescent="0.25">
      <c r="A18" s="7">
        <v>9</v>
      </c>
      <c r="B18" s="8" t="s">
        <v>55</v>
      </c>
      <c r="C18" s="8" t="s">
        <v>36</v>
      </c>
      <c r="D18" s="7">
        <f>4+1</f>
        <v>5</v>
      </c>
      <c r="E18" s="7">
        <f>17114.6+4278.4</f>
        <v>21393</v>
      </c>
      <c r="F18" s="7"/>
    </row>
    <row r="19" spans="1:9" s="1" customFormat="1" ht="31.5" x14ac:dyDescent="0.25">
      <c r="A19" s="7">
        <v>10</v>
      </c>
      <c r="B19" s="8" t="s">
        <v>141</v>
      </c>
      <c r="C19" s="8" t="s">
        <v>27</v>
      </c>
      <c r="D19" s="7">
        <f>0.2+0.1</f>
        <v>0.30000000000000004</v>
      </c>
      <c r="E19" s="7">
        <f>3666.4+1833.8</f>
        <v>5500.2</v>
      </c>
      <c r="F19" s="7"/>
    </row>
    <row r="20" spans="1:9" s="1" customFormat="1" ht="31.5" x14ac:dyDescent="0.25">
      <c r="A20" s="7">
        <v>11</v>
      </c>
      <c r="B20" s="8" t="s">
        <v>70</v>
      </c>
      <c r="C20" s="8" t="s">
        <v>27</v>
      </c>
      <c r="D20" s="7">
        <f>0.6</f>
        <v>0.6</v>
      </c>
      <c r="E20" s="7">
        <f>13000</f>
        <v>13000</v>
      </c>
      <c r="F20" s="7"/>
    </row>
    <row r="21" spans="1:9" s="1" customFormat="1" ht="31.5" x14ac:dyDescent="0.25">
      <c r="A21" s="7">
        <v>12</v>
      </c>
      <c r="B21" s="8" t="s">
        <v>56</v>
      </c>
      <c r="C21" s="8" t="s">
        <v>12</v>
      </c>
      <c r="D21" s="7">
        <f>0.06+0.03+0.01+0.01+0.02+0.06</f>
        <v>0.18999999999999997</v>
      </c>
      <c r="E21" s="7">
        <f>1079.8+1079.8+4634.2+3475+1201+1201+2514.8+8900</f>
        <v>24085.599999999999</v>
      </c>
      <c r="F21" s="7"/>
    </row>
    <row r="22" spans="1:9" s="1" customFormat="1" ht="78.75" x14ac:dyDescent="0.25">
      <c r="A22" s="7">
        <v>13</v>
      </c>
      <c r="B22" s="8" t="s">
        <v>21</v>
      </c>
      <c r="C22" s="8" t="s">
        <v>22</v>
      </c>
      <c r="D22" s="7">
        <v>5.17</v>
      </c>
      <c r="E22" s="7">
        <f>17880.6+17880.6+18234.6+18234.6+18234.6+18234.6+19613.6+19613.6+19613.6+20990.8+20990.8+20990.8</f>
        <v>230512.8</v>
      </c>
      <c r="F22" s="7"/>
    </row>
    <row r="23" spans="1:9" s="1" customFormat="1" ht="31.5" x14ac:dyDescent="0.25">
      <c r="A23" s="7">
        <v>14</v>
      </c>
      <c r="B23" s="8" t="s">
        <v>23</v>
      </c>
      <c r="C23" s="8" t="s">
        <v>24</v>
      </c>
      <c r="D23" s="7">
        <f>0.23+0.02+0.11+0.07+0.08+0.07+0.07+0.07+0.07+0.06+0.08</f>
        <v>0.93000000000000027</v>
      </c>
      <c r="E23" s="7">
        <f>7782.2+3112.8+1058.8+1058.8+5817.6+3703.4+4552.2+3983.4+3983.4+4261.4+3655+4872.8</f>
        <v>47841.8</v>
      </c>
      <c r="F23" s="7"/>
    </row>
    <row r="24" spans="1:9" s="1" customFormat="1" ht="47.25" x14ac:dyDescent="0.25">
      <c r="A24" s="7">
        <v>15</v>
      </c>
      <c r="B24" s="8" t="s">
        <v>96</v>
      </c>
      <c r="C24" s="8" t="s">
        <v>11</v>
      </c>
      <c r="D24" s="7">
        <v>0.15</v>
      </c>
      <c r="E24" s="7">
        <f>12049.4</f>
        <v>12049.4</v>
      </c>
      <c r="F24" s="7"/>
    </row>
    <row r="25" spans="1:9" s="1" customFormat="1" ht="31.5" x14ac:dyDescent="0.25">
      <c r="A25" s="7">
        <v>16</v>
      </c>
      <c r="B25" s="8" t="s">
        <v>46</v>
      </c>
      <c r="C25" s="8" t="s">
        <v>30</v>
      </c>
      <c r="D25" s="7">
        <f>1.02+0.46+0.24+0.07+0.31+0.16+0.1</f>
        <v>2.3600000000000003</v>
      </c>
      <c r="E25" s="7">
        <f>1350.2+192+3445.8+2264.2+1181.6+371+1640.4+847.2+566.2</f>
        <v>11858.6</v>
      </c>
      <c r="F25" s="7"/>
    </row>
    <row r="26" spans="1:9" s="1" customFormat="1" ht="31.5" x14ac:dyDescent="0.25">
      <c r="A26" s="7">
        <v>17</v>
      </c>
      <c r="B26" s="8" t="s">
        <v>146</v>
      </c>
      <c r="C26" s="8" t="s">
        <v>30</v>
      </c>
      <c r="D26" s="7">
        <f>0.01</f>
        <v>0.01</v>
      </c>
      <c r="E26" s="7">
        <v>1139.8</v>
      </c>
      <c r="F26" s="7"/>
    </row>
    <row r="27" spans="1:9" s="1" customFormat="1" ht="15.75" x14ac:dyDescent="0.25">
      <c r="A27" s="7">
        <v>18</v>
      </c>
      <c r="B27" s="8" t="s">
        <v>104</v>
      </c>
      <c r="C27" s="8" t="s">
        <v>105</v>
      </c>
      <c r="D27" s="7">
        <v>1</v>
      </c>
      <c r="E27" s="7">
        <v>2471</v>
      </c>
      <c r="F27" s="7"/>
    </row>
    <row r="28" spans="1:9" s="1" customFormat="1" ht="31.5" x14ac:dyDescent="0.25">
      <c r="A28" s="7">
        <v>19</v>
      </c>
      <c r="B28" s="8" t="s">
        <v>99</v>
      </c>
      <c r="C28" s="8" t="s">
        <v>98</v>
      </c>
      <c r="D28" s="7">
        <v>0.03</v>
      </c>
      <c r="E28" s="7">
        <f>2310</f>
        <v>2310</v>
      </c>
      <c r="F28" s="7"/>
    </row>
    <row r="29" spans="1:9" s="1" customFormat="1" ht="31.5" x14ac:dyDescent="0.25">
      <c r="A29" s="7">
        <v>20</v>
      </c>
      <c r="B29" s="8" t="s">
        <v>59</v>
      </c>
      <c r="C29" s="8" t="s">
        <v>31</v>
      </c>
      <c r="D29" s="7">
        <f>0.02+0.32</f>
        <v>0.34</v>
      </c>
      <c r="E29" s="7">
        <f>2080.4+34220</f>
        <v>36300.400000000001</v>
      </c>
      <c r="F29" s="7"/>
    </row>
    <row r="30" spans="1:9" ht="15.75" x14ac:dyDescent="0.25">
      <c r="A30" s="7"/>
      <c r="B30" s="8"/>
      <c r="C30" s="8"/>
      <c r="D30" s="7"/>
      <c r="E30" s="9">
        <f>SUM(E10:E29)</f>
        <v>902348.79999999993</v>
      </c>
      <c r="F30" s="19"/>
      <c r="I30" s="13"/>
    </row>
    <row r="31" spans="1:9" ht="15.75" x14ac:dyDescent="0.25">
      <c r="A31" s="7"/>
      <c r="B31" s="12" t="s">
        <v>10</v>
      </c>
      <c r="C31" s="8"/>
      <c r="D31" s="7"/>
      <c r="E31" s="7"/>
      <c r="F31" s="4"/>
    </row>
    <row r="32" spans="1:9" s="1" customFormat="1" ht="47.25" x14ac:dyDescent="0.25">
      <c r="A32" s="7">
        <v>1</v>
      </c>
      <c r="B32" s="8" t="s">
        <v>153</v>
      </c>
      <c r="C32" s="8" t="s">
        <v>154</v>
      </c>
      <c r="D32" s="7">
        <f>1</f>
        <v>1</v>
      </c>
      <c r="E32" s="7">
        <f>43200</f>
        <v>43200</v>
      </c>
      <c r="F32" s="4"/>
    </row>
    <row r="33" spans="1:6" ht="31.5" x14ac:dyDescent="0.25">
      <c r="A33" s="7">
        <v>2</v>
      </c>
      <c r="B33" s="8" t="s">
        <v>115</v>
      </c>
      <c r="C33" s="8" t="s">
        <v>12</v>
      </c>
      <c r="D33" s="7">
        <f>0.22+0.02+0.02+0.02+0.03+0.08+0.01+0.07+0.04+0.01+0.08+0.09+0.01+0.02+0.03+0.02+0.03+0.03+0.03+0.05</f>
        <v>0.91000000000000025</v>
      </c>
      <c r="E33" s="7">
        <f>22916.2+2391.8+1971.8+2391.8+3589.4+8005.8+1197.6+7111+4315.2+1018.6+9636+10267+1018.6+2462.8+3110.6+2280.8+3228.4+3418+3418+2881.4+2739.4</f>
        <v>99370.2</v>
      </c>
      <c r="F33" s="4"/>
    </row>
    <row r="34" spans="1:6" s="1" customFormat="1" ht="15.75" x14ac:dyDescent="0.25">
      <c r="A34" s="7">
        <v>3</v>
      </c>
      <c r="B34" s="8" t="s">
        <v>18</v>
      </c>
      <c r="C34" s="8" t="s">
        <v>19</v>
      </c>
      <c r="D34" s="7">
        <f>8+4</f>
        <v>12</v>
      </c>
      <c r="E34" s="7">
        <f>8949+4548.4</f>
        <v>13497.4</v>
      </c>
      <c r="F34" s="4"/>
    </row>
    <row r="35" spans="1:6" s="1" customFormat="1" ht="15.75" x14ac:dyDescent="0.25">
      <c r="A35" s="7">
        <v>4</v>
      </c>
      <c r="B35" s="8" t="s">
        <v>104</v>
      </c>
      <c r="C35" s="8" t="s">
        <v>105</v>
      </c>
      <c r="D35" s="7">
        <f>2.5</f>
        <v>2.5</v>
      </c>
      <c r="E35" s="7">
        <f>7282.4</f>
        <v>7282.4</v>
      </c>
      <c r="F35" s="4"/>
    </row>
    <row r="36" spans="1:6" s="1" customFormat="1" ht="31.5" x14ac:dyDescent="0.25">
      <c r="A36" s="7">
        <v>5</v>
      </c>
      <c r="B36" s="8" t="s">
        <v>147</v>
      </c>
      <c r="C36" s="8" t="s">
        <v>36</v>
      </c>
      <c r="D36" s="7">
        <v>4</v>
      </c>
      <c r="E36" s="7">
        <f>57905.6</f>
        <v>57905.599999999999</v>
      </c>
      <c r="F36" s="4"/>
    </row>
    <row r="37" spans="1:6" s="1" customFormat="1" ht="31.5" x14ac:dyDescent="0.25">
      <c r="A37" s="7">
        <v>6</v>
      </c>
      <c r="B37" s="8" t="s">
        <v>52</v>
      </c>
      <c r="C37" s="8" t="s">
        <v>36</v>
      </c>
      <c r="D37" s="7">
        <v>4</v>
      </c>
      <c r="E37" s="7">
        <f>25194</f>
        <v>25194</v>
      </c>
      <c r="F37" s="4"/>
    </row>
    <row r="38" spans="1:6" s="1" customFormat="1" ht="47.25" x14ac:dyDescent="0.25">
      <c r="A38" s="7">
        <v>7</v>
      </c>
      <c r="B38" s="8" t="s">
        <v>58</v>
      </c>
      <c r="C38" s="8" t="s">
        <v>11</v>
      </c>
      <c r="D38" s="7">
        <f>0.04+0.02+0.023+0.03+0.011</f>
        <v>0.12399999999999999</v>
      </c>
      <c r="E38" s="7">
        <f>3444.8+1764.8+2029.6+2875.4+1054.4</f>
        <v>11169</v>
      </c>
      <c r="F38" s="4"/>
    </row>
    <row r="39" spans="1:6" s="1" customFormat="1" ht="47.25" x14ac:dyDescent="0.25">
      <c r="A39" s="7">
        <v>8</v>
      </c>
      <c r="B39" s="8" t="s">
        <v>71</v>
      </c>
      <c r="C39" s="8" t="s">
        <v>11</v>
      </c>
      <c r="D39" s="7">
        <f>0.03+0.04+0.02</f>
        <v>9.0000000000000011E-2</v>
      </c>
      <c r="E39" s="7">
        <f>2949.6+3994.2+1959.2</f>
        <v>8903</v>
      </c>
      <c r="F39" s="4"/>
    </row>
    <row r="40" spans="1:6" s="1" customFormat="1" ht="47.25" x14ac:dyDescent="0.25">
      <c r="A40" s="7">
        <v>9</v>
      </c>
      <c r="B40" s="8" t="s">
        <v>114</v>
      </c>
      <c r="C40" s="8" t="s">
        <v>11</v>
      </c>
      <c r="D40" s="7">
        <f>0.11+0.53+0.02</f>
        <v>0.66</v>
      </c>
      <c r="E40" s="7">
        <f>17911.6+148013.8+3647.6</f>
        <v>169573</v>
      </c>
      <c r="F40" s="4"/>
    </row>
    <row r="41" spans="1:6" s="1" customFormat="1" ht="47.25" x14ac:dyDescent="0.25">
      <c r="A41" s="7">
        <v>10</v>
      </c>
      <c r="B41" s="8" t="s">
        <v>142</v>
      </c>
      <c r="C41" s="8" t="s">
        <v>11</v>
      </c>
      <c r="D41" s="7">
        <f>0.3+0.36</f>
        <v>0.65999999999999992</v>
      </c>
      <c r="E41" s="7">
        <f>102232+122679.6</f>
        <v>224911.6</v>
      </c>
      <c r="F41" s="4"/>
    </row>
    <row r="42" spans="1:6" s="1" customFormat="1" ht="47.25" x14ac:dyDescent="0.25">
      <c r="A42" s="7">
        <v>11</v>
      </c>
      <c r="B42" s="8" t="s">
        <v>114</v>
      </c>
      <c r="C42" s="8" t="s">
        <v>11</v>
      </c>
      <c r="D42" s="7">
        <v>0.02</v>
      </c>
      <c r="E42" s="7">
        <v>3532.6</v>
      </c>
      <c r="F42" s="4"/>
    </row>
    <row r="43" spans="1:6" s="1" customFormat="1" ht="47.25" x14ac:dyDescent="0.25">
      <c r="A43" s="7">
        <v>12</v>
      </c>
      <c r="B43" s="8" t="s">
        <v>75</v>
      </c>
      <c r="C43" s="8" t="s">
        <v>11</v>
      </c>
      <c r="D43" s="7">
        <f>0.01+0.026</f>
        <v>3.5999999999999997E-2</v>
      </c>
      <c r="E43" s="7">
        <f>1150.6+3132</f>
        <v>4282.6000000000004</v>
      </c>
      <c r="F43" s="4"/>
    </row>
    <row r="44" spans="1:6" s="1" customFormat="1" ht="47.25" x14ac:dyDescent="0.25">
      <c r="A44" s="7">
        <v>13</v>
      </c>
      <c r="B44" s="8" t="s">
        <v>113</v>
      </c>
      <c r="C44" s="8" t="s">
        <v>11</v>
      </c>
      <c r="D44" s="7">
        <v>0.01</v>
      </c>
      <c r="E44" s="7">
        <v>1604.4</v>
      </c>
      <c r="F44" s="4"/>
    </row>
    <row r="45" spans="1:6" s="1" customFormat="1" ht="47.25" x14ac:dyDescent="0.25">
      <c r="A45" s="7">
        <v>14</v>
      </c>
      <c r="B45" s="8" t="s">
        <v>60</v>
      </c>
      <c r="C45" s="8" t="s">
        <v>11</v>
      </c>
      <c r="D45" s="7">
        <f>0.01+0.01+0.01</f>
        <v>0.03</v>
      </c>
      <c r="E45" s="7">
        <f>1827.4+1802.4+1802.4</f>
        <v>5432.2000000000007</v>
      </c>
      <c r="F45" s="4"/>
    </row>
    <row r="46" spans="1:6" s="1" customFormat="1" ht="47.25" x14ac:dyDescent="0.25">
      <c r="A46" s="7">
        <v>15</v>
      </c>
      <c r="B46" s="8" t="s">
        <v>75</v>
      </c>
      <c r="C46" s="8" t="s">
        <v>11</v>
      </c>
      <c r="D46" s="7">
        <f>0.02+0.02+0.02</f>
        <v>0.06</v>
      </c>
      <c r="E46" s="7">
        <f>2300.8+2282.8+2282.8</f>
        <v>6866.4000000000005</v>
      </c>
      <c r="F46" s="4"/>
    </row>
    <row r="47" spans="1:6" s="1" customFormat="1" ht="47.25" x14ac:dyDescent="0.25">
      <c r="A47" s="7">
        <v>16</v>
      </c>
      <c r="B47" s="8" t="s">
        <v>74</v>
      </c>
      <c r="C47" s="8" t="s">
        <v>11</v>
      </c>
      <c r="D47" s="7">
        <f>0.02+0.02</f>
        <v>0.04</v>
      </c>
      <c r="E47" s="7">
        <f>2000.2+1914.8</f>
        <v>3915</v>
      </c>
      <c r="F47" s="4"/>
    </row>
    <row r="48" spans="1:6" s="1" customFormat="1" ht="47.25" x14ac:dyDescent="0.25">
      <c r="A48" s="7">
        <v>17</v>
      </c>
      <c r="B48" s="8" t="s">
        <v>78</v>
      </c>
      <c r="C48" s="8" t="s">
        <v>11</v>
      </c>
      <c r="D48" s="7">
        <f>0.01</f>
        <v>0.01</v>
      </c>
      <c r="E48" s="7">
        <f>902.2</f>
        <v>902.2</v>
      </c>
      <c r="F48" s="4"/>
    </row>
    <row r="49" spans="1:6" s="1" customFormat="1" ht="15.75" x14ac:dyDescent="0.25">
      <c r="A49" s="7">
        <v>18</v>
      </c>
      <c r="B49" s="8" t="s">
        <v>66</v>
      </c>
      <c r="C49" s="8" t="s">
        <v>67</v>
      </c>
      <c r="D49" s="7">
        <f>1+2</f>
        <v>3</v>
      </c>
      <c r="E49" s="7">
        <f>20492+17567.8</f>
        <v>38059.800000000003</v>
      </c>
      <c r="F49" s="4"/>
    </row>
    <row r="50" spans="1:6" s="1" customFormat="1" ht="15.75" x14ac:dyDescent="0.25">
      <c r="A50" s="7">
        <v>19</v>
      </c>
      <c r="B50" s="8" t="s">
        <v>118</v>
      </c>
      <c r="C50" s="8" t="s">
        <v>12</v>
      </c>
      <c r="D50" s="7">
        <f>0.09</f>
        <v>0.09</v>
      </c>
      <c r="E50" s="7">
        <f>201105.2</f>
        <v>201105.2</v>
      </c>
      <c r="F50" s="4"/>
    </row>
    <row r="51" spans="1:6" s="1" customFormat="1" ht="15.75" x14ac:dyDescent="0.25">
      <c r="A51" s="7">
        <v>20</v>
      </c>
      <c r="B51" s="8" t="s">
        <v>144</v>
      </c>
      <c r="C51" s="8" t="s">
        <v>12</v>
      </c>
      <c r="D51" s="7">
        <f>0.02+0.11</f>
        <v>0.13</v>
      </c>
      <c r="E51" s="7">
        <f>62259.2+320298</f>
        <v>382557.2</v>
      </c>
      <c r="F51" s="4"/>
    </row>
    <row r="52" spans="1:6" s="1" customFormat="1" ht="47.25" x14ac:dyDescent="0.25">
      <c r="A52" s="7">
        <v>21</v>
      </c>
      <c r="B52" s="8" t="s">
        <v>143</v>
      </c>
      <c r="C52" s="8" t="s">
        <v>101</v>
      </c>
      <c r="D52" s="7">
        <f>2</f>
        <v>2</v>
      </c>
      <c r="E52" s="7">
        <f>6633</f>
        <v>6633</v>
      </c>
      <c r="F52" s="4"/>
    </row>
    <row r="53" spans="1:6" s="1" customFormat="1" ht="31.5" x14ac:dyDescent="0.25">
      <c r="A53" s="7">
        <v>22</v>
      </c>
      <c r="B53" s="8" t="s">
        <v>50</v>
      </c>
      <c r="C53" s="8" t="s">
        <v>28</v>
      </c>
      <c r="D53" s="7">
        <v>0.04</v>
      </c>
      <c r="E53" s="7">
        <v>1392.6</v>
      </c>
      <c r="F53" s="4"/>
    </row>
    <row r="54" spans="1:6" s="1" customFormat="1" ht="31.5" x14ac:dyDescent="0.25">
      <c r="A54" s="7">
        <v>23</v>
      </c>
      <c r="B54" s="8" t="s">
        <v>51</v>
      </c>
      <c r="C54" s="8" t="s">
        <v>28</v>
      </c>
      <c r="D54" s="7">
        <v>0.01</v>
      </c>
      <c r="E54" s="7">
        <v>584</v>
      </c>
      <c r="F54" s="4"/>
    </row>
    <row r="55" spans="1:6" s="1" customFormat="1" ht="63" x14ac:dyDescent="0.25">
      <c r="A55" s="7">
        <v>24</v>
      </c>
      <c r="B55" s="8" t="s">
        <v>92</v>
      </c>
      <c r="C55" s="8" t="s">
        <v>93</v>
      </c>
      <c r="D55" s="7">
        <f>0.02</f>
        <v>0.02</v>
      </c>
      <c r="E55" s="7">
        <f>2945.6</f>
        <v>2945.6</v>
      </c>
      <c r="F55" s="4"/>
    </row>
    <row r="56" spans="1:6" s="1" customFormat="1" ht="47.25" x14ac:dyDescent="0.25">
      <c r="A56" s="7">
        <v>25</v>
      </c>
      <c r="B56" s="8" t="s">
        <v>47</v>
      </c>
      <c r="C56" s="8" t="s">
        <v>45</v>
      </c>
      <c r="D56" s="7">
        <f>4</f>
        <v>4</v>
      </c>
      <c r="E56" s="7">
        <f>22488.4</f>
        <v>22488.400000000001</v>
      </c>
      <c r="F56" s="4"/>
    </row>
    <row r="57" spans="1:6" s="1" customFormat="1" ht="47.25" x14ac:dyDescent="0.25">
      <c r="A57" s="7">
        <v>26</v>
      </c>
      <c r="B57" s="8" t="s">
        <v>54</v>
      </c>
      <c r="C57" s="8" t="s">
        <v>45</v>
      </c>
      <c r="D57" s="7">
        <f>6+1+3+3+7+4+2</f>
        <v>26</v>
      </c>
      <c r="E57" s="7">
        <f>32150+5397.6+16192.8+17588+41041.2+24951.8+12476</f>
        <v>149797.4</v>
      </c>
      <c r="F57" s="4"/>
    </row>
    <row r="58" spans="1:6" s="1" customFormat="1" ht="47.25" x14ac:dyDescent="0.25">
      <c r="A58" s="7">
        <v>27</v>
      </c>
      <c r="B58" s="8" t="s">
        <v>49</v>
      </c>
      <c r="C58" s="8" t="s">
        <v>45</v>
      </c>
      <c r="D58" s="7">
        <f>6+4+4+2</f>
        <v>16</v>
      </c>
      <c r="E58" s="7">
        <f>31160.6+22941+22941+12219.2</f>
        <v>89261.8</v>
      </c>
      <c r="F58" s="4"/>
    </row>
    <row r="59" spans="1:6" s="1" customFormat="1" ht="47.25" x14ac:dyDescent="0.25">
      <c r="A59" s="7">
        <v>28</v>
      </c>
      <c r="B59" s="8" t="s">
        <v>48</v>
      </c>
      <c r="C59" s="8" t="s">
        <v>45</v>
      </c>
      <c r="D59" s="7">
        <f>3+9+2+1+3+1+2</f>
        <v>21</v>
      </c>
      <c r="E59" s="7">
        <f>15635+47219.2+10494+5712+17132+5712+12171.2</f>
        <v>114075.4</v>
      </c>
      <c r="F59" s="4"/>
    </row>
    <row r="60" spans="1:6" s="1" customFormat="1" ht="47.25" x14ac:dyDescent="0.25">
      <c r="A60" s="7">
        <v>29</v>
      </c>
      <c r="B60" s="8" t="s">
        <v>65</v>
      </c>
      <c r="C60" s="8" t="s">
        <v>11</v>
      </c>
      <c r="D60" s="7">
        <f>0.06</f>
        <v>0.06</v>
      </c>
      <c r="E60" s="7">
        <f>1692.8</f>
        <v>1692.8</v>
      </c>
      <c r="F60" s="4"/>
    </row>
    <row r="61" spans="1:6" s="1" customFormat="1" ht="78.75" x14ac:dyDescent="0.25">
      <c r="A61" s="7">
        <v>30</v>
      </c>
      <c r="B61" s="8" t="s">
        <v>79</v>
      </c>
      <c r="C61" s="8" t="s">
        <v>80</v>
      </c>
      <c r="D61" s="7">
        <f>0.01+0.06</f>
        <v>6.9999999999999993E-2</v>
      </c>
      <c r="E61" s="7">
        <f>27.6+184.8</f>
        <v>212.4</v>
      </c>
      <c r="F61" s="4"/>
    </row>
    <row r="62" spans="1:6" s="1" customFormat="1" ht="47.25" x14ac:dyDescent="0.25">
      <c r="A62" s="7">
        <v>31</v>
      </c>
      <c r="B62" s="8" t="s">
        <v>62</v>
      </c>
      <c r="C62" s="8" t="s">
        <v>37</v>
      </c>
      <c r="D62" s="7">
        <f>0.01+0.01+0.01+0.06</f>
        <v>0.09</v>
      </c>
      <c r="E62" s="7">
        <f>2891.8+1620+3482.8+8648.8+2984</f>
        <v>19627.400000000001</v>
      </c>
      <c r="F62" s="4"/>
    </row>
    <row r="63" spans="1:6" s="1" customFormat="1" ht="31.5" x14ac:dyDescent="0.25">
      <c r="A63" s="7">
        <v>32</v>
      </c>
      <c r="B63" s="8" t="s">
        <v>148</v>
      </c>
      <c r="C63" s="8" t="s">
        <v>149</v>
      </c>
      <c r="D63" s="7">
        <f>1</f>
        <v>1</v>
      </c>
      <c r="E63" s="7">
        <f>2906</f>
        <v>2906</v>
      </c>
      <c r="F63" s="4"/>
    </row>
    <row r="64" spans="1:6" s="1" customFormat="1" ht="31.5" x14ac:dyDescent="0.25">
      <c r="A64" s="7">
        <v>33</v>
      </c>
      <c r="B64" s="8" t="s">
        <v>150</v>
      </c>
      <c r="C64" s="8" t="s">
        <v>149</v>
      </c>
      <c r="D64" s="7">
        <f>3</f>
        <v>3</v>
      </c>
      <c r="E64" s="7">
        <f>9950.6</f>
        <v>9950.6</v>
      </c>
      <c r="F64" s="4"/>
    </row>
    <row r="65" spans="1:6" s="1" customFormat="1" ht="47.25" x14ac:dyDescent="0.25">
      <c r="A65" s="7">
        <v>34</v>
      </c>
      <c r="B65" s="8" t="s">
        <v>151</v>
      </c>
      <c r="C65" s="8" t="s">
        <v>152</v>
      </c>
      <c r="D65" s="7">
        <f>0.1</f>
        <v>0.1</v>
      </c>
      <c r="E65" s="7">
        <f>3272.4</f>
        <v>3272.4</v>
      </c>
      <c r="F65" s="4"/>
    </row>
    <row r="66" spans="1:6" s="17" customFormat="1" ht="94.5" x14ac:dyDescent="0.25">
      <c r="A66" s="7">
        <v>35</v>
      </c>
      <c r="B66" s="15" t="s">
        <v>63</v>
      </c>
      <c r="C66" s="15" t="s">
        <v>32</v>
      </c>
      <c r="D66" s="14">
        <v>0.02</v>
      </c>
      <c r="E66" s="14">
        <v>8160</v>
      </c>
      <c r="F66" s="16"/>
    </row>
    <row r="67" spans="1:6" s="1" customFormat="1" ht="78.75" x14ac:dyDescent="0.25">
      <c r="A67" s="7">
        <v>36</v>
      </c>
      <c r="B67" s="8" t="s">
        <v>57</v>
      </c>
      <c r="C67" s="8" t="s">
        <v>13</v>
      </c>
      <c r="D67" s="7">
        <f>1.82</f>
        <v>1.82</v>
      </c>
      <c r="E67" s="7">
        <f>49322.4</f>
        <v>49322.400000000001</v>
      </c>
      <c r="F67" s="4"/>
    </row>
    <row r="68" spans="1:6" s="1" customFormat="1" ht="78.75" x14ac:dyDescent="0.25">
      <c r="A68" s="7">
        <v>37</v>
      </c>
      <c r="B68" s="8" t="s">
        <v>120</v>
      </c>
      <c r="C68" s="8" t="s">
        <v>13</v>
      </c>
      <c r="D68" s="7">
        <f>0.15</f>
        <v>0.15</v>
      </c>
      <c r="E68" s="7">
        <f>4044.4</f>
        <v>4044.4</v>
      </c>
      <c r="F68" s="4"/>
    </row>
    <row r="69" spans="1:6" s="1" customFormat="1" ht="78.75" x14ac:dyDescent="0.25">
      <c r="A69" s="7">
        <v>38</v>
      </c>
      <c r="B69" s="8" t="s">
        <v>121</v>
      </c>
      <c r="C69" s="8" t="s">
        <v>13</v>
      </c>
      <c r="D69" s="7">
        <f>0.05</f>
        <v>0.05</v>
      </c>
      <c r="E69" s="7">
        <f>1701</f>
        <v>1701</v>
      </c>
      <c r="F69" s="4"/>
    </row>
    <row r="70" spans="1:6" s="1" customFormat="1" ht="78.75" x14ac:dyDescent="0.25">
      <c r="A70" s="7">
        <v>39</v>
      </c>
      <c r="B70" s="8" t="s">
        <v>122</v>
      </c>
      <c r="C70" s="8" t="s">
        <v>13</v>
      </c>
      <c r="D70" s="7">
        <f>0.05+1.726</f>
        <v>1.776</v>
      </c>
      <c r="E70" s="7">
        <f>1745.4+60255.2</f>
        <v>62000.6</v>
      </c>
      <c r="F70" s="4"/>
    </row>
    <row r="71" spans="1:6" s="1" customFormat="1" ht="63" x14ac:dyDescent="0.25">
      <c r="A71" s="7">
        <v>40</v>
      </c>
      <c r="B71" s="8" t="s">
        <v>123</v>
      </c>
      <c r="C71" s="8" t="s">
        <v>33</v>
      </c>
      <c r="D71" s="7">
        <f>0.18</f>
        <v>0.18</v>
      </c>
      <c r="E71" s="7">
        <f>28960</f>
        <v>28960</v>
      </c>
      <c r="F71" s="4"/>
    </row>
    <row r="72" spans="1:6" s="1" customFormat="1" ht="63" x14ac:dyDescent="0.25">
      <c r="A72" s="7">
        <v>41</v>
      </c>
      <c r="B72" s="8" t="s">
        <v>124</v>
      </c>
      <c r="C72" s="8" t="s">
        <v>33</v>
      </c>
      <c r="D72" s="7">
        <f>0.05</f>
        <v>0.05</v>
      </c>
      <c r="E72" s="7">
        <f>15370.2</f>
        <v>15370.2</v>
      </c>
      <c r="F72" s="4"/>
    </row>
    <row r="73" spans="1:6" s="1" customFormat="1" ht="63" x14ac:dyDescent="0.25">
      <c r="A73" s="7">
        <v>42</v>
      </c>
      <c r="B73" s="8" t="s">
        <v>125</v>
      </c>
      <c r="C73" s="8" t="s">
        <v>33</v>
      </c>
      <c r="D73" s="7">
        <f>0.14</f>
        <v>0.14000000000000001</v>
      </c>
      <c r="E73" s="7">
        <f>36711.2</f>
        <v>36711.199999999997</v>
      </c>
      <c r="F73" s="4"/>
    </row>
    <row r="74" spans="1:6" s="1" customFormat="1" ht="47.25" x14ac:dyDescent="0.25">
      <c r="A74" s="7">
        <v>43</v>
      </c>
      <c r="B74" s="8" t="s">
        <v>102</v>
      </c>
      <c r="C74" s="8" t="s">
        <v>103</v>
      </c>
      <c r="D74" s="7">
        <f>0.03</f>
        <v>0.03</v>
      </c>
      <c r="E74" s="7">
        <f>336.4</f>
        <v>336.4</v>
      </c>
      <c r="F74" s="4"/>
    </row>
    <row r="75" spans="1:6" s="1" customFormat="1" ht="78.75" x14ac:dyDescent="0.25">
      <c r="A75" s="7">
        <v>44</v>
      </c>
      <c r="B75" s="8" t="s">
        <v>126</v>
      </c>
      <c r="C75" s="8" t="s">
        <v>13</v>
      </c>
      <c r="D75" s="7">
        <f>0.686</f>
        <v>0.68600000000000005</v>
      </c>
      <c r="E75" s="7">
        <f>23364.4</f>
        <v>23364.400000000001</v>
      </c>
      <c r="F75" s="4"/>
    </row>
    <row r="76" spans="1:6" s="1" customFormat="1" ht="31.5" x14ac:dyDescent="0.25">
      <c r="A76" s="7">
        <v>45</v>
      </c>
      <c r="B76" s="8" t="s">
        <v>127</v>
      </c>
      <c r="C76" s="8" t="s">
        <v>88</v>
      </c>
      <c r="D76" s="7">
        <f>410</f>
        <v>410</v>
      </c>
      <c r="E76" s="7">
        <f>152174.6</f>
        <v>152174.6</v>
      </c>
      <c r="F76" s="4"/>
    </row>
    <row r="77" spans="1:6" s="1" customFormat="1" ht="47.25" x14ac:dyDescent="0.25">
      <c r="A77" s="7">
        <v>46</v>
      </c>
      <c r="B77" s="8" t="s">
        <v>128</v>
      </c>
      <c r="C77" s="8" t="s">
        <v>77</v>
      </c>
      <c r="D77" s="7">
        <f>8.2</f>
        <v>8.1999999999999993</v>
      </c>
      <c r="E77" s="7">
        <f>521137.6</f>
        <v>521137.6</v>
      </c>
      <c r="F77" s="4"/>
    </row>
    <row r="78" spans="1:6" s="1" customFormat="1" ht="31.5" x14ac:dyDescent="0.25">
      <c r="A78" s="7">
        <v>47</v>
      </c>
      <c r="B78" s="8" t="s">
        <v>129</v>
      </c>
      <c r="C78" s="8" t="s">
        <v>88</v>
      </c>
      <c r="D78" s="7">
        <f>965</f>
        <v>965</v>
      </c>
      <c r="E78" s="7">
        <f>365588.4</f>
        <v>365588.4</v>
      </c>
      <c r="F78" s="4"/>
    </row>
    <row r="79" spans="1:6" s="1" customFormat="1" ht="78.75" x14ac:dyDescent="0.25">
      <c r="A79" s="7">
        <v>48</v>
      </c>
      <c r="B79" s="8" t="s">
        <v>130</v>
      </c>
      <c r="C79" s="8" t="s">
        <v>13</v>
      </c>
      <c r="D79" s="7">
        <f>20.48</f>
        <v>20.48</v>
      </c>
      <c r="E79" s="7">
        <f>950800.8</f>
        <v>950800.8</v>
      </c>
      <c r="F79" s="4"/>
    </row>
    <row r="80" spans="1:6" s="1" customFormat="1" ht="78.75" x14ac:dyDescent="0.25">
      <c r="A80" s="7">
        <v>49</v>
      </c>
      <c r="B80" s="8" t="s">
        <v>131</v>
      </c>
      <c r="C80" s="8" t="s">
        <v>13</v>
      </c>
      <c r="D80" s="7">
        <f>0.2645</f>
        <v>0.26450000000000001</v>
      </c>
      <c r="E80" s="7">
        <f>16147</f>
        <v>16147</v>
      </c>
      <c r="F80" s="4"/>
    </row>
    <row r="81" spans="1:6" s="1" customFormat="1" ht="78.75" x14ac:dyDescent="0.25">
      <c r="A81" s="7">
        <v>50</v>
      </c>
      <c r="B81" s="8" t="s">
        <v>132</v>
      </c>
      <c r="C81" s="8" t="s">
        <v>13</v>
      </c>
      <c r="D81" s="7">
        <f>0.1512</f>
        <v>0.1512</v>
      </c>
      <c r="E81" s="7">
        <f>4967.4</f>
        <v>4967.3999999999996</v>
      </c>
      <c r="F81" s="4"/>
    </row>
    <row r="82" spans="1:6" s="1" customFormat="1" ht="78.75" x14ac:dyDescent="0.25">
      <c r="A82" s="7">
        <v>51</v>
      </c>
      <c r="B82" s="8" t="s">
        <v>133</v>
      </c>
      <c r="C82" s="8" t="s">
        <v>13</v>
      </c>
      <c r="D82" s="7">
        <f>0.2268+0.47</f>
        <v>0.69679999999999997</v>
      </c>
      <c r="E82" s="7">
        <f>13305+27569.2</f>
        <v>40874.199999999997</v>
      </c>
      <c r="F82" s="4"/>
    </row>
    <row r="83" spans="1:6" s="1" customFormat="1" ht="78.75" x14ac:dyDescent="0.25">
      <c r="A83" s="7">
        <v>52</v>
      </c>
      <c r="B83" s="8" t="s">
        <v>134</v>
      </c>
      <c r="C83" s="8" t="s">
        <v>13</v>
      </c>
      <c r="D83" s="7">
        <f>0.082+0.15</f>
        <v>0.23199999999999998</v>
      </c>
      <c r="E83" s="7">
        <f>4725.4+9876.2</f>
        <v>14601.6</v>
      </c>
      <c r="F83" s="4"/>
    </row>
    <row r="84" spans="1:6" s="1" customFormat="1" ht="15.75" x14ac:dyDescent="0.25">
      <c r="A84" s="7">
        <v>53</v>
      </c>
      <c r="B84" s="8" t="s">
        <v>135</v>
      </c>
      <c r="C84" s="8" t="s">
        <v>29</v>
      </c>
      <c r="D84" s="7">
        <f>18</f>
        <v>18</v>
      </c>
      <c r="E84" s="7">
        <f>18522.2</f>
        <v>18522.2</v>
      </c>
      <c r="F84" s="4"/>
    </row>
    <row r="85" spans="1:6" s="1" customFormat="1" ht="47.25" x14ac:dyDescent="0.25">
      <c r="A85" s="7">
        <v>54</v>
      </c>
      <c r="B85" s="8" t="s">
        <v>136</v>
      </c>
      <c r="C85" s="8" t="s">
        <v>29</v>
      </c>
      <c r="D85" s="7">
        <v>18</v>
      </c>
      <c r="E85" s="7">
        <f>47334.6</f>
        <v>47334.6</v>
      </c>
      <c r="F85" s="4"/>
    </row>
    <row r="86" spans="1:6" s="1" customFormat="1" ht="15.75" x14ac:dyDescent="0.25">
      <c r="A86" s="7">
        <v>55</v>
      </c>
      <c r="B86" s="8" t="s">
        <v>100</v>
      </c>
      <c r="C86" s="8" t="s">
        <v>37</v>
      </c>
      <c r="D86" s="7">
        <f>0.015</f>
        <v>1.4999999999999999E-2</v>
      </c>
      <c r="E86" s="7">
        <f>313.6</f>
        <v>313.60000000000002</v>
      </c>
      <c r="F86" s="4"/>
    </row>
    <row r="87" spans="1:6" s="1" customFormat="1" ht="78.75" x14ac:dyDescent="0.25">
      <c r="A87" s="7">
        <v>56</v>
      </c>
      <c r="B87" s="8" t="s">
        <v>137</v>
      </c>
      <c r="C87" s="8" t="s">
        <v>13</v>
      </c>
      <c r="D87" s="7">
        <f>0.47</f>
        <v>0.47</v>
      </c>
      <c r="E87" s="7">
        <f>70733.8</f>
        <v>70733.8</v>
      </c>
      <c r="F87" s="4"/>
    </row>
    <row r="88" spans="1:6" s="1" customFormat="1" ht="31.5" x14ac:dyDescent="0.25">
      <c r="A88" s="7">
        <v>57</v>
      </c>
      <c r="B88" s="8" t="s">
        <v>156</v>
      </c>
      <c r="C88" s="8" t="s">
        <v>157</v>
      </c>
      <c r="D88" s="7">
        <f>0.02</f>
        <v>0.02</v>
      </c>
      <c r="E88" s="7">
        <f>1667</f>
        <v>1667</v>
      </c>
      <c r="F88" s="4"/>
    </row>
    <row r="89" spans="1:6" s="1" customFormat="1" ht="78.75" x14ac:dyDescent="0.25">
      <c r="A89" s="7">
        <v>58</v>
      </c>
      <c r="B89" s="8" t="s">
        <v>89</v>
      </c>
      <c r="C89" s="8" t="s">
        <v>13</v>
      </c>
      <c r="D89" s="7">
        <f>0.08</f>
        <v>0.08</v>
      </c>
      <c r="E89" s="7">
        <f>4099.2</f>
        <v>4099.2</v>
      </c>
      <c r="F89" s="4"/>
    </row>
    <row r="90" spans="1:6" s="1" customFormat="1" ht="15.75" x14ac:dyDescent="0.25">
      <c r="A90" s="7">
        <v>59</v>
      </c>
      <c r="B90" s="8" t="s">
        <v>90</v>
      </c>
      <c r="C90" s="8" t="s">
        <v>91</v>
      </c>
      <c r="D90" s="7">
        <f>3.3+2+2.5+1.75+1.5</f>
        <v>11.05</v>
      </c>
      <c r="E90" s="7">
        <f>8194.8+5022.2+6279+4393.6+4369.8</f>
        <v>28259.399999999998</v>
      </c>
      <c r="F90" s="4"/>
    </row>
    <row r="91" spans="1:6" s="1" customFormat="1" ht="15.75" x14ac:dyDescent="0.25">
      <c r="A91" s="7">
        <v>60</v>
      </c>
      <c r="B91" s="8" t="s">
        <v>64</v>
      </c>
      <c r="C91" s="8" t="s">
        <v>36</v>
      </c>
      <c r="D91" s="7">
        <f>1+1</f>
        <v>2</v>
      </c>
      <c r="E91" s="7">
        <f>3262.6+3256.8</f>
        <v>6519.4</v>
      </c>
      <c r="F91" s="4"/>
    </row>
    <row r="92" spans="1:6" s="1" customFormat="1" ht="15.75" x14ac:dyDescent="0.25">
      <c r="A92" s="7">
        <v>61</v>
      </c>
      <c r="B92" s="8" t="s">
        <v>162</v>
      </c>
      <c r="C92" s="8" t="s">
        <v>36</v>
      </c>
      <c r="D92" s="7">
        <f>1</f>
        <v>1</v>
      </c>
      <c r="E92" s="7">
        <f>1275.6</f>
        <v>1275.5999999999999</v>
      </c>
      <c r="F92" s="4"/>
    </row>
    <row r="93" spans="1:6" s="1" customFormat="1" ht="15.75" x14ac:dyDescent="0.25">
      <c r="A93" s="7">
        <v>62</v>
      </c>
      <c r="B93" s="8" t="s">
        <v>76</v>
      </c>
      <c r="C93" s="8" t="s">
        <v>77</v>
      </c>
      <c r="D93" s="7">
        <f>0.0041</f>
        <v>4.1000000000000003E-3</v>
      </c>
      <c r="E93" s="7">
        <f>1025.6</f>
        <v>1025.5999999999999</v>
      </c>
      <c r="F93" s="4"/>
    </row>
    <row r="94" spans="1:6" s="1" customFormat="1" ht="15.75" x14ac:dyDescent="0.25">
      <c r="A94" s="7">
        <v>63</v>
      </c>
      <c r="B94" s="8" t="s">
        <v>159</v>
      </c>
      <c r="C94" s="8" t="s">
        <v>160</v>
      </c>
      <c r="D94" s="7">
        <f>0.03</f>
        <v>0.03</v>
      </c>
      <c r="E94" s="7">
        <f>2339</f>
        <v>2339</v>
      </c>
      <c r="F94" s="4"/>
    </row>
    <row r="95" spans="1:6" s="1" customFormat="1" ht="15.75" x14ac:dyDescent="0.25">
      <c r="A95" s="7">
        <v>64</v>
      </c>
      <c r="B95" s="8" t="s">
        <v>119</v>
      </c>
      <c r="C95" s="8" t="s">
        <v>37</v>
      </c>
      <c r="D95" s="7">
        <f>0.14+0.14</f>
        <v>0.28000000000000003</v>
      </c>
      <c r="E95" s="7">
        <f>1086.6+1086.6</f>
        <v>2173.1999999999998</v>
      </c>
      <c r="F95" s="4"/>
    </row>
    <row r="96" spans="1:6" s="1" customFormat="1" ht="31.5" x14ac:dyDescent="0.25">
      <c r="A96" s="7">
        <v>65</v>
      </c>
      <c r="B96" s="8" t="s">
        <v>81</v>
      </c>
      <c r="C96" s="8" t="s">
        <v>82</v>
      </c>
      <c r="D96" s="7">
        <f>0.1+0.12</f>
        <v>0.22</v>
      </c>
      <c r="E96" s="7">
        <f>4439.4+5327.8</f>
        <v>9767.2000000000007</v>
      </c>
      <c r="F96" s="4"/>
    </row>
    <row r="97" spans="1:6" s="1" customFormat="1" ht="31.5" x14ac:dyDescent="0.25">
      <c r="A97" s="7">
        <v>66</v>
      </c>
      <c r="B97" s="8" t="s">
        <v>83</v>
      </c>
      <c r="C97" s="8" t="s">
        <v>77</v>
      </c>
      <c r="D97" s="7">
        <f>0.1+0.12</f>
        <v>0.22</v>
      </c>
      <c r="E97" s="7">
        <f>9004+10801.8</f>
        <v>19805.8</v>
      </c>
      <c r="F97" s="4"/>
    </row>
    <row r="98" spans="1:6" s="1" customFormat="1" ht="31.5" x14ac:dyDescent="0.25">
      <c r="A98" s="7">
        <v>67</v>
      </c>
      <c r="B98" s="8" t="s">
        <v>84</v>
      </c>
      <c r="C98" s="8" t="s">
        <v>85</v>
      </c>
      <c r="D98" s="7">
        <f>18+16</f>
        <v>34</v>
      </c>
      <c r="E98" s="7">
        <f>12402.4-2747.2+11025.8-2441.4</f>
        <v>18239.599999999999</v>
      </c>
      <c r="F98" s="4"/>
    </row>
    <row r="99" spans="1:6" s="1" customFormat="1" ht="31.5" x14ac:dyDescent="0.25">
      <c r="A99" s="7">
        <v>68</v>
      </c>
      <c r="B99" s="8" t="s">
        <v>86</v>
      </c>
      <c r="C99" s="8" t="s">
        <v>87</v>
      </c>
      <c r="D99" s="7">
        <f>1+1.1</f>
        <v>2.1</v>
      </c>
      <c r="E99" s="7">
        <f>1822.4+2004.6</f>
        <v>3827</v>
      </c>
      <c r="F99" s="4"/>
    </row>
    <row r="100" spans="1:6" s="1" customFormat="1" ht="47.25" x14ac:dyDescent="0.25">
      <c r="A100" s="7">
        <v>69</v>
      </c>
      <c r="B100" s="8" t="s">
        <v>112</v>
      </c>
      <c r="C100" s="8" t="s">
        <v>145</v>
      </c>
      <c r="D100" s="7">
        <v>0.02</v>
      </c>
      <c r="E100" s="7">
        <f>4497+4805</f>
        <v>9302</v>
      </c>
      <c r="F100" s="4"/>
    </row>
    <row r="101" spans="1:6" s="1" customFormat="1" ht="31.5" x14ac:dyDescent="0.25">
      <c r="A101" s="7">
        <v>70</v>
      </c>
      <c r="B101" s="8" t="s">
        <v>94</v>
      </c>
      <c r="C101" s="8" t="s">
        <v>31</v>
      </c>
      <c r="D101" s="7">
        <f>0.18</f>
        <v>0.18</v>
      </c>
      <c r="E101" s="7">
        <f>5595.6</f>
        <v>5595.6</v>
      </c>
      <c r="F101" s="4"/>
    </row>
    <row r="102" spans="1:6" s="1" customFormat="1" ht="31.5" x14ac:dyDescent="0.25">
      <c r="A102" s="7">
        <v>71</v>
      </c>
      <c r="B102" s="8" t="s">
        <v>163</v>
      </c>
      <c r="C102" s="8" t="s">
        <v>31</v>
      </c>
      <c r="D102" s="7">
        <f>0.02</f>
        <v>0.02</v>
      </c>
      <c r="E102" s="7">
        <f>1815.4</f>
        <v>1815.4</v>
      </c>
      <c r="F102" s="4"/>
    </row>
    <row r="103" spans="1:6" s="1" customFormat="1" ht="31.5" x14ac:dyDescent="0.25">
      <c r="A103" s="7">
        <v>72</v>
      </c>
      <c r="B103" s="8" t="s">
        <v>164</v>
      </c>
      <c r="C103" s="8" t="s">
        <v>31</v>
      </c>
      <c r="D103" s="7">
        <f>0.01</f>
        <v>0.01</v>
      </c>
      <c r="E103" s="7">
        <f>527.6</f>
        <v>527.6</v>
      </c>
      <c r="F103" s="4"/>
    </row>
    <row r="104" spans="1:6" s="1" customFormat="1" ht="31.5" x14ac:dyDescent="0.25">
      <c r="A104" s="7">
        <v>73</v>
      </c>
      <c r="B104" s="8" t="s">
        <v>165</v>
      </c>
      <c r="C104" s="8" t="s">
        <v>31</v>
      </c>
      <c r="D104" s="7">
        <f>0.06</f>
        <v>0.06</v>
      </c>
      <c r="E104" s="7">
        <f>5003.8</f>
        <v>5003.8</v>
      </c>
      <c r="F104" s="4"/>
    </row>
    <row r="105" spans="1:6" s="1" customFormat="1" ht="15.75" x14ac:dyDescent="0.25">
      <c r="A105" s="7">
        <v>74</v>
      </c>
      <c r="B105" s="8" t="s">
        <v>161</v>
      </c>
      <c r="C105" s="8" t="s">
        <v>37</v>
      </c>
      <c r="D105" s="7">
        <f>0.05</f>
        <v>0.05</v>
      </c>
      <c r="E105" s="7">
        <f>988.6</f>
        <v>988.6</v>
      </c>
      <c r="F105" s="4"/>
    </row>
    <row r="106" spans="1:6" s="1" customFormat="1" ht="78.75" x14ac:dyDescent="0.25">
      <c r="A106" s="7">
        <v>75</v>
      </c>
      <c r="B106" s="8" t="s">
        <v>116</v>
      </c>
      <c r="C106" s="8" t="s">
        <v>117</v>
      </c>
      <c r="D106" s="7">
        <f>0.06</f>
        <v>0.06</v>
      </c>
      <c r="E106" s="7">
        <f>1046.2</f>
        <v>1046.2</v>
      </c>
      <c r="F106" s="4"/>
    </row>
    <row r="107" spans="1:6" s="1" customFormat="1" ht="47.25" x14ac:dyDescent="0.25">
      <c r="A107" s="7">
        <v>76</v>
      </c>
      <c r="B107" s="8" t="s">
        <v>108</v>
      </c>
      <c r="C107" s="8" t="s">
        <v>110</v>
      </c>
      <c r="D107" s="7">
        <v>2.5999999999999999E-3</v>
      </c>
      <c r="E107" s="7">
        <v>615.6</v>
      </c>
      <c r="F107" s="4"/>
    </row>
    <row r="108" spans="1:6" s="1" customFormat="1" ht="47.25" x14ac:dyDescent="0.25">
      <c r="A108" s="7">
        <v>77</v>
      </c>
      <c r="B108" s="8" t="s">
        <v>109</v>
      </c>
      <c r="C108" s="8" t="s">
        <v>110</v>
      </c>
      <c r="D108" s="7">
        <v>4.1000000000000003E-3</v>
      </c>
      <c r="E108" s="7">
        <v>780.8</v>
      </c>
      <c r="F108" s="4"/>
    </row>
    <row r="109" spans="1:6" s="1" customFormat="1" ht="47.25" x14ac:dyDescent="0.25">
      <c r="A109" s="7">
        <v>78</v>
      </c>
      <c r="B109" s="8" t="s">
        <v>111</v>
      </c>
      <c r="C109" s="8" t="s">
        <v>110</v>
      </c>
      <c r="D109" s="7">
        <v>7.0200000000000002E-3</v>
      </c>
      <c r="E109" s="7">
        <v>1156</v>
      </c>
      <c r="F109" s="4"/>
    </row>
    <row r="110" spans="1:6" s="1" customFormat="1" ht="31.5" x14ac:dyDescent="0.25">
      <c r="A110" s="7">
        <v>79</v>
      </c>
      <c r="B110" s="8" t="s">
        <v>106</v>
      </c>
      <c r="C110" s="8" t="s">
        <v>107</v>
      </c>
      <c r="D110" s="7">
        <f>0.09+0.09</f>
        <v>0.18</v>
      </c>
      <c r="E110" s="7">
        <f>3160+5162.8</f>
        <v>8322.7999999999993</v>
      </c>
      <c r="F110" s="4"/>
    </row>
    <row r="111" spans="1:6" s="1" customFormat="1" ht="31.5" x14ac:dyDescent="0.25">
      <c r="A111" s="7">
        <v>80</v>
      </c>
      <c r="B111" s="8" t="s">
        <v>158</v>
      </c>
      <c r="C111" s="8" t="s">
        <v>166</v>
      </c>
      <c r="D111" s="7">
        <f>1+1</f>
        <v>2</v>
      </c>
      <c r="E111" s="7">
        <f>800+800</f>
        <v>1600</v>
      </c>
      <c r="F111" s="4"/>
    </row>
    <row r="112" spans="1:6" s="1" customFormat="1" ht="31.5" x14ac:dyDescent="0.25">
      <c r="A112" s="7">
        <v>81</v>
      </c>
      <c r="B112" s="8" t="s">
        <v>68</v>
      </c>
      <c r="C112" s="8" t="s">
        <v>69</v>
      </c>
      <c r="D112" s="7">
        <f>1560+185+66+71+434+158</f>
        <v>2474</v>
      </c>
      <c r="E112" s="19">
        <f>51996+6166+3300+2959+21700+6584</f>
        <v>92705</v>
      </c>
      <c r="F112" s="4"/>
    </row>
    <row r="113" spans="1:10" s="1" customFormat="1" ht="47.25" x14ac:dyDescent="0.25">
      <c r="A113" s="7">
        <v>82</v>
      </c>
      <c r="B113" s="8" t="s">
        <v>73</v>
      </c>
      <c r="C113" s="8" t="s">
        <v>72</v>
      </c>
      <c r="D113" s="7">
        <f>140+10+80</f>
        <v>230</v>
      </c>
      <c r="E113" s="19">
        <f>91000+6500+52000</f>
        <v>149500</v>
      </c>
      <c r="F113" s="4"/>
    </row>
    <row r="114" spans="1:10" s="1" customFormat="1" ht="15.75" x14ac:dyDescent="0.25">
      <c r="A114" s="7">
        <v>83</v>
      </c>
      <c r="B114" s="8" t="s">
        <v>61</v>
      </c>
      <c r="C114" s="8" t="s">
        <v>29</v>
      </c>
      <c r="D114" s="7">
        <f>2</f>
        <v>2</v>
      </c>
      <c r="E114" s="7">
        <f>24353</f>
        <v>24353</v>
      </c>
      <c r="F114" s="4"/>
    </row>
    <row r="115" spans="1:10" s="1" customFormat="1" ht="15.75" x14ac:dyDescent="0.25">
      <c r="A115" s="7"/>
      <c r="B115" s="8"/>
      <c r="C115" s="8"/>
      <c r="D115" s="7"/>
      <c r="E115" s="9">
        <f>SUM(E32:E114)</f>
        <v>4569580.3999999985</v>
      </c>
      <c r="F115" s="4"/>
    </row>
    <row r="116" spans="1:10" ht="15.75" x14ac:dyDescent="0.25">
      <c r="A116" s="7"/>
      <c r="B116" s="8" t="s">
        <v>8</v>
      </c>
      <c r="C116" s="7"/>
      <c r="D116" s="7"/>
      <c r="E116" s="9">
        <f>E30+E115</f>
        <v>5471929.1999999983</v>
      </c>
      <c r="F116" s="4"/>
    </row>
    <row r="117" spans="1:10" ht="15.75" x14ac:dyDescent="0.25">
      <c r="A117" s="7"/>
      <c r="B117" s="8"/>
      <c r="C117" s="7"/>
      <c r="D117" s="7"/>
      <c r="E117" s="7"/>
      <c r="F117" s="4"/>
    </row>
    <row r="118" spans="1:10" ht="15.75" x14ac:dyDescent="0.25">
      <c r="A118" s="10"/>
      <c r="B118" s="10"/>
      <c r="C118" s="10"/>
      <c r="D118" s="10"/>
      <c r="E118" s="10"/>
      <c r="F118" s="4"/>
      <c r="J118" t="s">
        <v>38</v>
      </c>
    </row>
    <row r="119" spans="1:10" ht="15.75" x14ac:dyDescent="0.25">
      <c r="A119" s="10"/>
      <c r="B119" s="10" t="s">
        <v>16</v>
      </c>
      <c r="C119" s="10" t="s">
        <v>40</v>
      </c>
      <c r="D119" s="10"/>
      <c r="E119" s="10"/>
      <c r="F119" s="1"/>
    </row>
    <row r="120" spans="1:10" x14ac:dyDescent="0.25">
      <c r="A120" s="2"/>
      <c r="B120" s="2"/>
      <c r="C120" s="2"/>
      <c r="D120" s="2"/>
      <c r="E120" s="2"/>
      <c r="F120" s="1"/>
    </row>
    <row r="121" spans="1:10" x14ac:dyDescent="0.25">
      <c r="A121" s="2"/>
      <c r="B121" s="2"/>
      <c r="C121" s="2"/>
      <c r="D121" s="2"/>
      <c r="E121" s="2"/>
      <c r="F121" s="1"/>
    </row>
    <row r="122" spans="1:10" x14ac:dyDescent="0.25">
      <c r="A122" s="2"/>
      <c r="B122" s="2" t="s">
        <v>17</v>
      </c>
      <c r="C122" s="2"/>
      <c r="D122" s="18"/>
      <c r="E122" s="2"/>
      <c r="F122" s="13"/>
      <c r="G122" s="13"/>
    </row>
    <row r="123" spans="1:10" x14ac:dyDescent="0.25">
      <c r="A123" s="2"/>
      <c r="B123" s="2"/>
      <c r="C123" s="2"/>
      <c r="D123" s="2"/>
      <c r="E123" s="2"/>
      <c r="F123" s="13"/>
      <c r="G123" s="13"/>
    </row>
    <row r="124" spans="1:10" x14ac:dyDescent="0.25">
      <c r="A124" s="2"/>
      <c r="B124" s="2"/>
      <c r="C124" s="2" t="s">
        <v>41</v>
      </c>
      <c r="D124" s="18">
        <f>43928.8+31460.2+30262+27991.4+61974.8+518360+30993.6+31035+27002.4+31324+30053+37963.6</f>
        <v>902348.79999999993</v>
      </c>
      <c r="E124" s="18"/>
      <c r="F124" s="13"/>
      <c r="G124" s="13"/>
    </row>
    <row r="125" spans="1:10" x14ac:dyDescent="0.25">
      <c r="A125" s="2"/>
      <c r="B125" s="2"/>
      <c r="C125" s="2" t="s">
        <v>42</v>
      </c>
      <c r="D125" s="2">
        <f>139985.8+76626+91788.2+42460+2759673.2+50065.8+267194+702768.6+50803+209284.8+45060.8+133869.2</f>
        <v>4569579.4000000004</v>
      </c>
      <c r="E125" s="2"/>
    </row>
    <row r="126" spans="1:10" x14ac:dyDescent="0.25">
      <c r="A126" s="2"/>
      <c r="B126" s="2"/>
      <c r="C126" s="2"/>
      <c r="D126" s="18">
        <f>D124+D125</f>
        <v>5471928.2000000002</v>
      </c>
      <c r="E126" s="18"/>
      <c r="F126" s="13"/>
    </row>
    <row r="127" spans="1:10" x14ac:dyDescent="0.25">
      <c r="A127" s="2"/>
      <c r="B127" s="2"/>
      <c r="C127" s="2" t="s">
        <v>43</v>
      </c>
      <c r="D127" s="18">
        <f>183914.6+108086.2+122050.2+70451.4+2821648+568425.8+298187.6+733803.6+77805.4+240608.8+75113.8+171832.8</f>
        <v>5471928.2000000002</v>
      </c>
      <c r="E127" s="2"/>
      <c r="F127" s="13"/>
    </row>
    <row r="128" spans="1:10" x14ac:dyDescent="0.25">
      <c r="A128" s="2"/>
      <c r="B128" s="2"/>
      <c r="C128" s="2"/>
      <c r="D128" s="2"/>
      <c r="E128" s="2"/>
    </row>
    <row r="129" spans="1:5" x14ac:dyDescent="0.25">
      <c r="A129" s="2"/>
      <c r="B129" s="2"/>
      <c r="C129" s="2"/>
      <c r="D129" s="2"/>
      <c r="E129" s="2"/>
    </row>
    <row r="1164" spans="7:7" x14ac:dyDescent="0.25">
      <c r="G1164" t="s">
        <v>39</v>
      </c>
    </row>
    <row r="1166" spans="7:7" x14ac:dyDescent="0.25">
      <c r="G1166" t="s">
        <v>34</v>
      </c>
    </row>
  </sheetData>
  <pageMargins left="0.78740157480314965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2023-02-10T08:41:38Z</cp:lastPrinted>
  <dcterms:created xsi:type="dcterms:W3CDTF">2016-09-29T06:37:31Z</dcterms:created>
  <dcterms:modified xsi:type="dcterms:W3CDTF">2023-02-10T08:43:51Z</dcterms:modified>
</cp:coreProperties>
</file>