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справка по выполн раб за 2022 год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61" i="1" l="1"/>
  <c r="E60" i="1"/>
  <c r="E30" i="1"/>
  <c r="D30" i="1"/>
  <c r="E35" i="1"/>
  <c r="D35" i="1"/>
  <c r="E34" i="1"/>
  <c r="D34" i="1"/>
  <c r="E62" i="1"/>
  <c r="D62" i="1"/>
  <c r="E46" i="1"/>
  <c r="D46" i="1"/>
  <c r="E64" i="1"/>
  <c r="D64" i="1"/>
  <c r="E65" i="1"/>
  <c r="D65" i="1"/>
  <c r="E58" i="1"/>
  <c r="D58" i="1"/>
  <c r="E54" i="1"/>
  <c r="D54" i="1"/>
  <c r="E10" i="1"/>
  <c r="E9" i="1"/>
  <c r="D9" i="1"/>
  <c r="E23" i="1"/>
  <c r="D23" i="1"/>
  <c r="E24" i="1"/>
  <c r="D24" i="1"/>
  <c r="E22" i="1"/>
  <c r="E14" i="1"/>
  <c r="D14" i="1"/>
  <c r="E13" i="1"/>
  <c r="D13" i="1"/>
  <c r="D78" i="1"/>
  <c r="D76" i="1"/>
  <c r="D75" i="1"/>
  <c r="E52" i="1" l="1"/>
  <c r="D52" i="1"/>
  <c r="E33" i="1" l="1"/>
  <c r="D33" i="1"/>
  <c r="E48" i="1"/>
  <c r="D48" i="1"/>
  <c r="E51" i="1"/>
  <c r="D51" i="1"/>
  <c r="E44" i="1"/>
  <c r="D44" i="1"/>
  <c r="E55" i="1"/>
  <c r="D55" i="1"/>
  <c r="E53" i="1"/>
  <c r="D53" i="1"/>
  <c r="E57" i="1" l="1"/>
  <c r="D57" i="1"/>
  <c r="E56" i="1"/>
  <c r="D56" i="1"/>
  <c r="E41" i="1"/>
  <c r="D41" i="1"/>
  <c r="E21" i="1"/>
  <c r="D21" i="1"/>
  <c r="E47" i="1" l="1"/>
  <c r="D47" i="1"/>
  <c r="E39" i="1"/>
  <c r="D39" i="1"/>
  <c r="E29" i="1"/>
  <c r="D29" i="1"/>
  <c r="E31" i="1" l="1"/>
  <c r="D31" i="1"/>
  <c r="E38" i="1"/>
  <c r="D38" i="1"/>
  <c r="E43" i="1"/>
  <c r="D43" i="1"/>
  <c r="E42" i="1"/>
  <c r="D42" i="1"/>
  <c r="E36" i="1"/>
  <c r="D36" i="1"/>
  <c r="E50" i="1"/>
  <c r="E49" i="1"/>
  <c r="D49" i="1"/>
  <c r="E59" i="1" l="1"/>
  <c r="E11" i="1" l="1"/>
  <c r="E20" i="1"/>
  <c r="E19" i="1"/>
  <c r="E18" i="1"/>
  <c r="D18" i="1"/>
  <c r="E17" i="1"/>
  <c r="D17" i="1"/>
  <c r="E16" i="1"/>
  <c r="D16" i="1"/>
  <c r="E15" i="1"/>
  <c r="D15" i="1"/>
  <c r="E32" i="1"/>
  <c r="D32" i="1"/>
  <c r="E45" i="1" l="1"/>
  <c r="D45" i="1"/>
  <c r="E12" i="1"/>
  <c r="E27" i="1" s="1"/>
  <c r="D12" i="1"/>
  <c r="D11" i="1"/>
  <c r="E37" i="1"/>
  <c r="D37" i="1"/>
  <c r="E66" i="1" l="1"/>
  <c r="D77" i="1"/>
  <c r="E67" i="1" l="1"/>
</calcChain>
</file>

<file path=xl/sharedStrings.xml><?xml version="1.0" encoding="utf-8"?>
<sst xmlns="http://schemas.openxmlformats.org/spreadsheetml/2006/main" count="134" uniqueCount="106">
  <si>
    <t xml:space="preserve">                                                                           Отчет</t>
  </si>
  <si>
    <t>№№</t>
  </si>
  <si>
    <t>Наименование работ по МКД</t>
  </si>
  <si>
    <t>Ед.изм.</t>
  </si>
  <si>
    <t>Объем</t>
  </si>
  <si>
    <t>Стоимость работ,</t>
  </si>
  <si>
    <t>п/п</t>
  </si>
  <si>
    <t>руб. без НДС</t>
  </si>
  <si>
    <r>
      <rPr>
        <b/>
        <sz val="12"/>
        <color theme="1"/>
        <rFont val="Calibri"/>
        <family val="2"/>
        <charset val="204"/>
        <scheme val="minor"/>
      </rPr>
      <t>Итого</t>
    </r>
    <r>
      <rPr>
        <sz val="12"/>
        <color theme="1"/>
        <rFont val="Calibri"/>
        <family val="2"/>
        <charset val="204"/>
        <scheme val="minor"/>
      </rPr>
      <t>:</t>
    </r>
  </si>
  <si>
    <t>Техническое обслуживание</t>
  </si>
  <si>
    <t xml:space="preserve">Текущий ремонт </t>
  </si>
  <si>
    <t>100м трубопровода</t>
  </si>
  <si>
    <t>100шт</t>
  </si>
  <si>
    <t>100м2 окрашиваемой поверхности</t>
  </si>
  <si>
    <t>Гидравлическое испытание трубопроводов систем отопления диам.до 50мм</t>
  </si>
  <si>
    <t>Гидравлическое испытание трубопроводов систем отопления диам.до 100мм</t>
  </si>
  <si>
    <t>Установка хомутов диаметром трубопроводов до 100мм</t>
  </si>
  <si>
    <t>Директор</t>
  </si>
  <si>
    <t>Исп.Захарова О.Е.</t>
  </si>
  <si>
    <t>1 компл.</t>
  </si>
  <si>
    <t xml:space="preserve"> работ по текущему ремонту и техническому обслуживанию  общего </t>
  </si>
  <si>
    <t>Осмотр системы центрального отопления</t>
  </si>
  <si>
    <t>1000м2 осматриваемых помещений</t>
  </si>
  <si>
    <t>Осмотр водопровода, канализации</t>
  </si>
  <si>
    <t>100квартир</t>
  </si>
  <si>
    <t>Осмотр линий электрических сетей,арматуры и электрооборудования на л/клетках</t>
  </si>
  <si>
    <t>100 лестничных клеток</t>
  </si>
  <si>
    <t>100 сгонов</t>
  </si>
  <si>
    <t>100м3 воды</t>
  </si>
  <si>
    <t>Смена дверных приборов замки навесные</t>
  </si>
  <si>
    <t>100шт приб.</t>
  </si>
  <si>
    <t>10шт</t>
  </si>
  <si>
    <t>,</t>
  </si>
  <si>
    <t>1шт.</t>
  </si>
  <si>
    <t xml:space="preserve"> </t>
  </si>
  <si>
    <t>,,</t>
  </si>
  <si>
    <t>Рыжов А.А.</t>
  </si>
  <si>
    <t>т/обсл</t>
  </si>
  <si>
    <t>т/рем</t>
  </si>
  <si>
    <t>по акту</t>
  </si>
  <si>
    <t>Смена ламп светодиодных</t>
  </si>
  <si>
    <t>1 врезка</t>
  </si>
  <si>
    <t>Водоотлив  из подвала электрическими насосами</t>
  </si>
  <si>
    <t>Врезка в действующие внутренние сети трубопроводов отопления и водоснабжения диам.15мм</t>
  </si>
  <si>
    <t>Врезка в действующие внутренние сети трубопроводов отопления и водоснабжения диам.20мм</t>
  </si>
  <si>
    <t>Смена сгонов у трубопроводов диам. до 32 мм</t>
  </si>
  <si>
    <t>Гидравлическое испытание аппарата с внутренней трубчаткой</t>
  </si>
  <si>
    <t xml:space="preserve">                                        по улице Талсинская </t>
  </si>
  <si>
    <t>Врезка в действующие внутренние сети трубопроводов отопления и водоснабжения диам.25мм</t>
  </si>
  <si>
    <t>Демонтаж элеваторов</t>
  </si>
  <si>
    <t>100м трубопровода с фасонными частями</t>
  </si>
  <si>
    <t>Установка манометров</t>
  </si>
  <si>
    <t>Установка элеваторов</t>
  </si>
  <si>
    <t>Механизированная уборка снега на придомовой территории</t>
  </si>
  <si>
    <t>мин</t>
  </si>
  <si>
    <t>Услуги трактора, экскаватора-погрузчика, погрузка и вывоз снега со складированием</t>
  </si>
  <si>
    <t>м3</t>
  </si>
  <si>
    <t>100м2 отремонтированной поверхности</t>
  </si>
  <si>
    <t>Улучшенная масляная окраска ранее окрашенных стен за 2 раза с расчисткой старой краски до 10%</t>
  </si>
  <si>
    <t>Смена кранов на шаровые краны диам.15,20,25 мм</t>
  </si>
  <si>
    <t>Врезка в действующие внутренние сети трубопроводов отопления и водоснабжения диам.32мм</t>
  </si>
  <si>
    <t>100 соединений</t>
  </si>
  <si>
    <t>Сборка узла трубопровода водоснабжения и отопления из многослойного полипропилена,армированного стекловолокном,раструбная сварка,наружный диаметр:40мм</t>
  </si>
  <si>
    <t>10фильтров</t>
  </si>
  <si>
    <t>Смена внутренних трубопроводов из полиэтиленовых канализационных труб диам.до 100мм</t>
  </si>
  <si>
    <t>Усиление сварных швов наплавкой</t>
  </si>
  <si>
    <t>1 м шва</t>
  </si>
  <si>
    <t>имущества МКД, выполненных за 2022  года на жилом доме № 23</t>
  </si>
  <si>
    <t>100шт.</t>
  </si>
  <si>
    <t>1 шт.</t>
  </si>
  <si>
    <t>Водоотлив  из подвала ведрами</t>
  </si>
  <si>
    <t>Смена отдельных участков трубопроводов с заготовкой труб в построечных условиях диам.до 20мм</t>
  </si>
  <si>
    <t>Смена отдельных участков трубопроводов с заготовкой труб в построечных условиях диам.до 100мм</t>
  </si>
  <si>
    <t>Смена внутренних трубопроводов из стальных труб диам.до 25мм</t>
  </si>
  <si>
    <t>Смена кранов водоразборных</t>
  </si>
  <si>
    <t>Установка грязевиков наружным диаметром патрубков до 159мм после прочистки</t>
  </si>
  <si>
    <t xml:space="preserve">Демонтаж грязевиков </t>
  </si>
  <si>
    <t>Прочистка фильтров 150мм</t>
  </si>
  <si>
    <t>Прочистка фильтров 100мм</t>
  </si>
  <si>
    <t>Прочистка фильтров 50мм</t>
  </si>
  <si>
    <t>Прочистка фильтров 80мм</t>
  </si>
  <si>
    <t>Заделка  отверстий, гнезд и борозд (ступени)</t>
  </si>
  <si>
    <t>1м3 заделки</t>
  </si>
  <si>
    <t>Демонтаж фильтров диам. 20мм</t>
  </si>
  <si>
    <t>Установка фильтров диаметром 20мм</t>
  </si>
  <si>
    <t>Смена внутренних трубопроводов из стальных труб диам.до 20мм</t>
  </si>
  <si>
    <t xml:space="preserve">Очистка внутренней поверхности:теплообменного аппарата </t>
  </si>
  <si>
    <t>Выполнение работы(оказание услуги) по организации государственной поверки приборов учета тепловой энергии</t>
  </si>
  <si>
    <t>услуга</t>
  </si>
  <si>
    <t>Смена отдельных участков трубопроводов с заготовкой труб в построечных условиях диам.до 32мм</t>
  </si>
  <si>
    <t>Ремонт штукатурки гладких фасадов</t>
  </si>
  <si>
    <t>Окраска масляными составами ранее окрашенных поверхностей труб стальных за 2 раза</t>
  </si>
  <si>
    <t>Смена дверных приборов:крючок накидной</t>
  </si>
  <si>
    <t>100шт.приборов</t>
  </si>
  <si>
    <t>Смена керамогранитных плит:до 3шт</t>
  </si>
  <si>
    <t>Механизированная обработка придомовой территории ПСС</t>
  </si>
  <si>
    <t>Изготовление элементов и сборка узлов стальных трубопроводов диаметром 150мм</t>
  </si>
  <si>
    <t>10м трубопровода</t>
  </si>
  <si>
    <t>Разборка трубопроводов из водогазопроводных труб диам до 100мм</t>
  </si>
  <si>
    <t>Прокладка внутренних трубопроводов водоснабжения и газоснабжения из стальных бесшовных труб диаметром до 100мм</t>
  </si>
  <si>
    <t>Установка решеток на окна</t>
  </si>
  <si>
    <t>т</t>
  </si>
  <si>
    <t>раз</t>
  </si>
  <si>
    <t>Разборка трубопроводов из водогазопроводных труб диам до 50мм</t>
  </si>
  <si>
    <t>Демонтаж светильников</t>
  </si>
  <si>
    <t>Установка светодиодных светильников с датчиками движения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</si>
</sst>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 vertical="distributed"/>
    </xf>
    <xf numFmtId="2" fontId="1" fillId="0" borderId="1" xfId="0" applyNumberFormat="1" applyFont="1" applyBorder="1"/>
    <xf numFmtId="0" fontId="2" fillId="0" borderId="0" xfId="0" applyFont="1" applyBorder="1"/>
    <xf numFmtId="0" fontId="1" fillId="0" borderId="3" xfId="0" applyFont="1" applyBorder="1"/>
    <xf numFmtId="0" fontId="1" fillId="0" borderId="1" xfId="0" applyFont="1" applyBorder="1" applyAlignment="1">
      <alignment horizontal="left" vertical="distributed"/>
    </xf>
    <xf numFmtId="2" fontId="0" fillId="0" borderId="0" xfId="0" applyNumberFormat="1"/>
    <xf numFmtId="2" fontId="0" fillId="0" borderId="0" xfId="0" applyNumberFormat="1" applyBorder="1"/>
    <xf numFmtId="2" fontId="2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17"/>
  <sheetViews>
    <sheetView tabSelected="1" zoomScale="106" zoomScaleNormal="106" workbookViewId="0">
      <selection activeCell="E74" sqref="A1:E74"/>
    </sheetView>
  </sheetViews>
  <sheetFormatPr defaultRowHeight="15" x14ac:dyDescent="0.25"/>
  <cols>
    <col min="1" max="1" width="5.140625" customWidth="1"/>
    <col min="2" max="2" width="47.42578125" customWidth="1"/>
    <col min="3" max="3" width="10.85546875" customWidth="1"/>
    <col min="4" max="4" width="12.28515625" customWidth="1"/>
    <col min="5" max="5" width="16.7109375" customWidth="1"/>
    <col min="7" max="7" width="11.7109375" customWidth="1"/>
    <col min="11" max="11" width="10" bestFit="1" customWidth="1"/>
  </cols>
  <sheetData>
    <row r="1" spans="1:6" ht="15.75" x14ac:dyDescent="0.25">
      <c r="A1" s="4"/>
      <c r="B1" s="3" t="s">
        <v>0</v>
      </c>
      <c r="C1" s="3"/>
      <c r="D1" s="4"/>
      <c r="E1" s="4"/>
      <c r="F1" s="1"/>
    </row>
    <row r="2" spans="1:6" ht="15.75" x14ac:dyDescent="0.25">
      <c r="A2" s="4"/>
      <c r="B2" s="3" t="s">
        <v>20</v>
      </c>
      <c r="C2" s="3"/>
      <c r="D2" s="3"/>
      <c r="E2" s="3"/>
      <c r="F2" s="1"/>
    </row>
    <row r="3" spans="1:6" ht="15.75" x14ac:dyDescent="0.25">
      <c r="A3" s="4"/>
      <c r="B3" s="3" t="s">
        <v>67</v>
      </c>
      <c r="C3" s="3"/>
      <c r="D3" s="3"/>
      <c r="E3" s="3"/>
      <c r="F3" s="1"/>
    </row>
    <row r="4" spans="1:6" ht="15.75" x14ac:dyDescent="0.25">
      <c r="A4" s="4"/>
      <c r="B4" s="3" t="s">
        <v>47</v>
      </c>
      <c r="C4" s="3"/>
      <c r="D4" s="3"/>
      <c r="E4" s="3"/>
      <c r="F4" s="1"/>
    </row>
    <row r="5" spans="1:6" ht="15.75" x14ac:dyDescent="0.25">
      <c r="A5" s="4"/>
      <c r="B5" s="4"/>
      <c r="C5" s="4"/>
      <c r="D5" s="4"/>
      <c r="E5" s="4"/>
      <c r="F5" s="1"/>
    </row>
    <row r="6" spans="1:6" ht="15.75" x14ac:dyDescent="0.25">
      <c r="A6" s="5" t="s">
        <v>1</v>
      </c>
      <c r="B6" s="5" t="s">
        <v>2</v>
      </c>
      <c r="C6" s="5" t="s">
        <v>3</v>
      </c>
      <c r="D6" s="5" t="s">
        <v>4</v>
      </c>
      <c r="E6" s="5" t="s">
        <v>5</v>
      </c>
      <c r="F6" s="4"/>
    </row>
    <row r="7" spans="1:6" ht="15.75" x14ac:dyDescent="0.25">
      <c r="A7" s="6" t="s">
        <v>6</v>
      </c>
      <c r="B7" s="6"/>
      <c r="C7" s="6"/>
      <c r="D7" s="6"/>
      <c r="E7" s="6" t="s">
        <v>7</v>
      </c>
      <c r="F7" s="4"/>
    </row>
    <row r="8" spans="1:6" s="1" customFormat="1" ht="15.75" x14ac:dyDescent="0.25">
      <c r="A8" s="6"/>
      <c r="B8" s="11" t="s">
        <v>9</v>
      </c>
      <c r="C8" s="6"/>
      <c r="D8" s="6"/>
      <c r="E8" s="6"/>
      <c r="F8" s="4"/>
    </row>
    <row r="9" spans="1:6" ht="15.75" x14ac:dyDescent="0.25">
      <c r="A9" s="7">
        <v>1</v>
      </c>
      <c r="B9" s="8" t="s">
        <v>40</v>
      </c>
      <c r="C9" s="8" t="s">
        <v>12</v>
      </c>
      <c r="D9" s="7">
        <f>0.11+0.02+0.01+0.03+0.08+0.02+0.06+0.06+0.04</f>
        <v>0.43</v>
      </c>
      <c r="E9" s="7">
        <f>1599.2+527.4+156.2+486.4+1294+323.4+994+994+662.2</f>
        <v>7036.7999999999993</v>
      </c>
      <c r="F9" s="4"/>
    </row>
    <row r="10" spans="1:6" s="1" customFormat="1" ht="47.25" x14ac:dyDescent="0.25">
      <c r="A10" s="7">
        <v>3</v>
      </c>
      <c r="B10" s="8" t="s">
        <v>25</v>
      </c>
      <c r="C10" s="8" t="s">
        <v>26</v>
      </c>
      <c r="D10" s="7">
        <v>0.57999999999999996</v>
      </c>
      <c r="E10" s="7">
        <f>5673.4+1917+1917+1917+2060.4+2060.4+2060.4+2206.2+2206.2+2206.2</f>
        <v>24224.2</v>
      </c>
      <c r="F10" s="4"/>
    </row>
    <row r="11" spans="1:6" ht="47.25" x14ac:dyDescent="0.25">
      <c r="A11" s="7">
        <v>4</v>
      </c>
      <c r="B11" s="8" t="s">
        <v>14</v>
      </c>
      <c r="C11" s="8" t="s">
        <v>11</v>
      </c>
      <c r="D11" s="7">
        <f>60.48</f>
        <v>60.48</v>
      </c>
      <c r="E11" s="7">
        <f>417665.4</f>
        <v>417665.4</v>
      </c>
      <c r="F11" s="4"/>
    </row>
    <row r="12" spans="1:6" ht="47.25" x14ac:dyDescent="0.25">
      <c r="A12" s="7">
        <v>5</v>
      </c>
      <c r="B12" s="8" t="s">
        <v>15</v>
      </c>
      <c r="C12" s="8" t="s">
        <v>11</v>
      </c>
      <c r="D12" s="7">
        <f>5.11</f>
        <v>5.1100000000000003</v>
      </c>
      <c r="E12" s="7">
        <f>35752.2</f>
        <v>35752.199999999997</v>
      </c>
      <c r="F12" s="4"/>
    </row>
    <row r="13" spans="1:6" s="1" customFormat="1" ht="15.75" x14ac:dyDescent="0.25">
      <c r="A13" s="7">
        <v>6</v>
      </c>
      <c r="B13" s="8" t="s">
        <v>49</v>
      </c>
      <c r="C13" s="8" t="s">
        <v>12</v>
      </c>
      <c r="D13" s="7">
        <f>0.01+0.01</f>
        <v>0.02</v>
      </c>
      <c r="E13" s="7">
        <f>713+822.8</f>
        <v>1535.8</v>
      </c>
      <c r="F13" s="4"/>
    </row>
    <row r="14" spans="1:6" s="1" customFormat="1" ht="15.75" x14ac:dyDescent="0.25">
      <c r="A14" s="7">
        <v>7</v>
      </c>
      <c r="B14" s="8" t="s">
        <v>52</v>
      </c>
      <c r="C14" s="8" t="s">
        <v>31</v>
      </c>
      <c r="D14" s="7">
        <f>0.1+0.1</f>
        <v>0.2</v>
      </c>
      <c r="E14" s="7">
        <f>2940.6+32333.8</f>
        <v>35274.400000000001</v>
      </c>
      <c r="F14" s="4"/>
    </row>
    <row r="15" spans="1:6" s="1" customFormat="1" ht="15.75" x14ac:dyDescent="0.25">
      <c r="A15" s="7"/>
      <c r="B15" s="8" t="s">
        <v>76</v>
      </c>
      <c r="C15" s="8" t="s">
        <v>12</v>
      </c>
      <c r="D15" s="7">
        <f>0.02</f>
        <v>0.02</v>
      </c>
      <c r="E15" s="7">
        <f>2250</f>
        <v>2250</v>
      </c>
      <c r="F15" s="4"/>
    </row>
    <row r="16" spans="1:6" s="1" customFormat="1" ht="31.5" x14ac:dyDescent="0.25">
      <c r="A16" s="7"/>
      <c r="B16" s="8" t="s">
        <v>75</v>
      </c>
      <c r="C16" s="8" t="s">
        <v>69</v>
      </c>
      <c r="D16" s="7">
        <f>2</f>
        <v>2</v>
      </c>
      <c r="E16" s="7">
        <f>20069.8</f>
        <v>20069.8</v>
      </c>
      <c r="F16" s="4"/>
    </row>
    <row r="17" spans="1:6" s="1" customFormat="1" ht="31.5" x14ac:dyDescent="0.25">
      <c r="A17" s="7">
        <v>8</v>
      </c>
      <c r="B17" s="8" t="s">
        <v>77</v>
      </c>
      <c r="C17" s="8" t="s">
        <v>63</v>
      </c>
      <c r="D17" s="7">
        <f>0.2</f>
        <v>0.2</v>
      </c>
      <c r="E17" s="7">
        <f>12368.8</f>
        <v>12368.8</v>
      </c>
      <c r="F17" s="4"/>
    </row>
    <row r="18" spans="1:6" s="1" customFormat="1" ht="31.5" x14ac:dyDescent="0.25">
      <c r="A18" s="7"/>
      <c r="B18" s="8" t="s">
        <v>78</v>
      </c>
      <c r="C18" s="8" t="s">
        <v>63</v>
      </c>
      <c r="D18" s="7">
        <f>0.1</f>
        <v>0.1</v>
      </c>
      <c r="E18" s="7">
        <f>2166.8</f>
        <v>2166.8000000000002</v>
      </c>
      <c r="F18" s="4"/>
    </row>
    <row r="19" spans="1:6" s="1" customFormat="1" ht="31.5" x14ac:dyDescent="0.25">
      <c r="A19" s="7"/>
      <c r="B19" s="8" t="s">
        <v>79</v>
      </c>
      <c r="C19" s="8" t="s">
        <v>63</v>
      </c>
      <c r="D19" s="7">
        <v>0.3</v>
      </c>
      <c r="E19" s="7">
        <f>3599</f>
        <v>3599</v>
      </c>
      <c r="F19" s="4"/>
    </row>
    <row r="20" spans="1:6" s="1" customFormat="1" ht="31.5" x14ac:dyDescent="0.25">
      <c r="A20" s="7"/>
      <c r="B20" s="8" t="s">
        <v>80</v>
      </c>
      <c r="C20" s="8" t="s">
        <v>63</v>
      </c>
      <c r="D20" s="7">
        <v>0.1</v>
      </c>
      <c r="E20" s="7">
        <f>5792</f>
        <v>5792</v>
      </c>
      <c r="F20" s="4"/>
    </row>
    <row r="21" spans="1:6" s="1" customFormat="1" ht="31.5" x14ac:dyDescent="0.25">
      <c r="A21" s="7">
        <v>9</v>
      </c>
      <c r="B21" s="8" t="s">
        <v>16</v>
      </c>
      <c r="C21" s="8" t="s">
        <v>12</v>
      </c>
      <c r="D21" s="7">
        <f>0.01+0.01+0.02+0.01</f>
        <v>0.05</v>
      </c>
      <c r="E21" s="7">
        <f>1079.8+1160.4+2402.2+1256.4</f>
        <v>5898.7999999999993</v>
      </c>
      <c r="F21" s="4"/>
    </row>
    <row r="22" spans="1:6" s="1" customFormat="1" ht="78.75" x14ac:dyDescent="0.25">
      <c r="A22" s="7">
        <v>10</v>
      </c>
      <c r="B22" s="8" t="s">
        <v>21</v>
      </c>
      <c r="C22" s="8" t="s">
        <v>22</v>
      </c>
      <c r="D22" s="7">
        <v>2.8250000000000002</v>
      </c>
      <c r="E22" s="7">
        <f>29508.4+9964+9964+9964+10718.4+10718.4+10718.4+11469.8+11469.8+11469.8</f>
        <v>125965</v>
      </c>
      <c r="F22" s="4"/>
    </row>
    <row r="23" spans="1:6" s="1" customFormat="1" ht="31.5" x14ac:dyDescent="0.25">
      <c r="A23" s="7">
        <v>11</v>
      </c>
      <c r="B23" s="8" t="s">
        <v>23</v>
      </c>
      <c r="C23" s="8" t="s">
        <v>24</v>
      </c>
      <c r="D23" s="7">
        <f>0.1+0.04+0.03+0.05+0.03+0.03+0.02+0.01+0.03+0.04</f>
        <v>0.38000000000000006</v>
      </c>
      <c r="E23" s="7">
        <f>5196.2+2116.2+1586.2+2962+1708+1708+1137.2+609.4+1827.4+2436.8</f>
        <v>21287.4</v>
      </c>
      <c r="F23" s="4"/>
    </row>
    <row r="24" spans="1:6" s="1" customFormat="1" ht="31.5" x14ac:dyDescent="0.25">
      <c r="A24" s="7">
        <v>13</v>
      </c>
      <c r="B24" s="8" t="s">
        <v>42</v>
      </c>
      <c r="C24" s="8" t="s">
        <v>28</v>
      </c>
      <c r="D24" s="7">
        <f>0.04+0.01+0.02+0.08+0.09</f>
        <v>0.24000000000000002</v>
      </c>
      <c r="E24" s="7">
        <f>197+54.2+112.6+452.8+507.8</f>
        <v>1324.3999999999999</v>
      </c>
      <c r="F24" s="4"/>
    </row>
    <row r="25" spans="1:6" s="1" customFormat="1" ht="31.5" x14ac:dyDescent="0.25">
      <c r="A25" s="7"/>
      <c r="B25" s="8" t="s">
        <v>70</v>
      </c>
      <c r="C25" s="8" t="s">
        <v>28</v>
      </c>
      <c r="D25" s="7">
        <v>0.04</v>
      </c>
      <c r="E25" s="7">
        <v>192</v>
      </c>
      <c r="F25" s="4"/>
    </row>
    <row r="26" spans="1:6" s="1" customFormat="1" ht="31.5" x14ac:dyDescent="0.25">
      <c r="A26" s="7">
        <v>14</v>
      </c>
      <c r="B26" s="8" t="s">
        <v>29</v>
      </c>
      <c r="C26" s="8" t="s">
        <v>30</v>
      </c>
      <c r="D26" s="7"/>
      <c r="E26" s="7"/>
      <c r="F26" s="4"/>
    </row>
    <row r="27" spans="1:6" ht="15.75" x14ac:dyDescent="0.25">
      <c r="A27" s="7"/>
      <c r="B27" s="8"/>
      <c r="C27" s="8"/>
      <c r="D27" s="7"/>
      <c r="E27" s="9">
        <f>SUM(E9:E26)</f>
        <v>722402.80000000028</v>
      </c>
      <c r="F27" s="4"/>
    </row>
    <row r="28" spans="1:6" ht="15.75" x14ac:dyDescent="0.25">
      <c r="A28" s="7"/>
      <c r="B28" s="12" t="s">
        <v>10</v>
      </c>
      <c r="C28" s="8"/>
      <c r="D28" s="7"/>
      <c r="E28" s="7"/>
      <c r="F28" s="4"/>
    </row>
    <row r="29" spans="1:6" s="1" customFormat="1" ht="47.25" x14ac:dyDescent="0.25">
      <c r="A29" s="7">
        <v>1</v>
      </c>
      <c r="B29" s="8" t="s">
        <v>87</v>
      </c>
      <c r="C29" s="8" t="s">
        <v>88</v>
      </c>
      <c r="D29" s="7">
        <f>1</f>
        <v>1</v>
      </c>
      <c r="E29" s="7">
        <f>24000</f>
        <v>24000</v>
      </c>
      <c r="F29" s="4"/>
    </row>
    <row r="30" spans="1:6" ht="31.5" x14ac:dyDescent="0.25">
      <c r="A30" s="7">
        <v>2</v>
      </c>
      <c r="B30" s="8" t="s">
        <v>59</v>
      </c>
      <c r="C30" s="8" t="s">
        <v>12</v>
      </c>
      <c r="D30" s="7">
        <f>0.1+0.03+0.02+0.08+0.02+0.02+0.05+0.01+0.04+0.02+0.03+0.01</f>
        <v>0.42999999999999994</v>
      </c>
      <c r="E30" s="7">
        <f>9439.4+3589.4+1971.8+10035+2392+2462.6+5510.8+1081+4619.2+2584.4+3874+1140.4</f>
        <v>48700</v>
      </c>
      <c r="F30" s="4"/>
    </row>
    <row r="31" spans="1:6" s="1" customFormat="1" ht="15.75" x14ac:dyDescent="0.25">
      <c r="A31" s="7">
        <v>3</v>
      </c>
      <c r="B31" s="8" t="s">
        <v>51</v>
      </c>
      <c r="C31" s="8" t="s">
        <v>19</v>
      </c>
      <c r="D31" s="7">
        <f>3+3</f>
        <v>6</v>
      </c>
      <c r="E31" s="7">
        <f>3410+3410</f>
        <v>6820</v>
      </c>
      <c r="F31" s="4"/>
    </row>
    <row r="32" spans="1:6" s="1" customFormat="1" ht="15.75" x14ac:dyDescent="0.25">
      <c r="A32" s="7">
        <v>4</v>
      </c>
      <c r="B32" s="8" t="s">
        <v>74</v>
      </c>
      <c r="C32" s="8" t="s">
        <v>68</v>
      </c>
      <c r="D32" s="7">
        <f>0.01</f>
        <v>0.01</v>
      </c>
      <c r="E32" s="7">
        <f>456.8</f>
        <v>456.8</v>
      </c>
      <c r="F32" s="4"/>
    </row>
    <row r="33" spans="1:7" s="1" customFormat="1" ht="47.25" x14ac:dyDescent="0.25">
      <c r="A33" s="7">
        <v>5</v>
      </c>
      <c r="B33" s="8" t="s">
        <v>98</v>
      </c>
      <c r="C33" s="8" t="s">
        <v>11</v>
      </c>
      <c r="D33" s="7">
        <f>0.08</f>
        <v>0.08</v>
      </c>
      <c r="E33" s="7">
        <f>4970.6</f>
        <v>4970.6000000000004</v>
      </c>
      <c r="F33" s="4"/>
    </row>
    <row r="34" spans="1:7" s="1" customFormat="1" ht="47.25" x14ac:dyDescent="0.25">
      <c r="A34" s="7">
        <v>6</v>
      </c>
      <c r="B34" s="8" t="s">
        <v>103</v>
      </c>
      <c r="C34" s="8" t="s">
        <v>11</v>
      </c>
      <c r="D34" s="7">
        <f>0.02</f>
        <v>0.02</v>
      </c>
      <c r="E34" s="7">
        <f>890</f>
        <v>890</v>
      </c>
      <c r="F34" s="4"/>
    </row>
    <row r="35" spans="1:7" s="1" customFormat="1" ht="78.75" x14ac:dyDescent="0.25">
      <c r="A35" s="7">
        <v>7</v>
      </c>
      <c r="B35" s="8" t="s">
        <v>62</v>
      </c>
      <c r="C35" s="8" t="s">
        <v>61</v>
      </c>
      <c r="D35" s="7">
        <f>0.02</f>
        <v>0.02</v>
      </c>
      <c r="E35" s="7">
        <f>91</f>
        <v>91</v>
      </c>
      <c r="F35" s="4"/>
      <c r="G35" s="1" t="s">
        <v>34</v>
      </c>
    </row>
    <row r="36" spans="1:7" s="1" customFormat="1" ht="47.25" x14ac:dyDescent="0.25">
      <c r="A36" s="7">
        <v>8</v>
      </c>
      <c r="B36" s="8" t="s">
        <v>85</v>
      </c>
      <c r="C36" s="8" t="s">
        <v>11</v>
      </c>
      <c r="D36" s="7">
        <f>0.15</f>
        <v>0.15</v>
      </c>
      <c r="E36" s="7">
        <f>14991</f>
        <v>14991</v>
      </c>
      <c r="F36" s="4"/>
    </row>
    <row r="37" spans="1:7" s="1" customFormat="1" ht="47.25" x14ac:dyDescent="0.25">
      <c r="A37" s="7">
        <v>9</v>
      </c>
      <c r="B37" s="8" t="s">
        <v>73</v>
      </c>
      <c r="C37" s="8" t="s">
        <v>11</v>
      </c>
      <c r="D37" s="7">
        <f>0.01</f>
        <v>0.01</v>
      </c>
      <c r="E37" s="7">
        <f>1150.6</f>
        <v>1150.5999999999999</v>
      </c>
      <c r="F37" s="4"/>
    </row>
    <row r="38" spans="1:7" s="1" customFormat="1" ht="47.25" x14ac:dyDescent="0.25">
      <c r="A38" s="7">
        <v>10</v>
      </c>
      <c r="B38" s="8" t="s">
        <v>71</v>
      </c>
      <c r="C38" s="8" t="s">
        <v>11</v>
      </c>
      <c r="D38" s="7">
        <f>0.01+0.02+0.21</f>
        <v>0.24</v>
      </c>
      <c r="E38" s="7">
        <f>858.6+1741.4+18530.8</f>
        <v>21130.799999999999</v>
      </c>
      <c r="F38" s="4"/>
    </row>
    <row r="39" spans="1:7" s="1" customFormat="1" ht="47.25" x14ac:dyDescent="0.25">
      <c r="A39" s="7">
        <v>11</v>
      </c>
      <c r="B39" s="8" t="s">
        <v>89</v>
      </c>
      <c r="C39" s="8" t="s">
        <v>11</v>
      </c>
      <c r="D39" s="7">
        <f>0.02</f>
        <v>0.02</v>
      </c>
      <c r="E39" s="7">
        <f>1959.2</f>
        <v>1959.2</v>
      </c>
      <c r="F39" s="4"/>
    </row>
    <row r="40" spans="1:7" s="1" customFormat="1" ht="47.25" x14ac:dyDescent="0.25">
      <c r="A40" s="7">
        <v>12</v>
      </c>
      <c r="B40" s="8" t="s">
        <v>72</v>
      </c>
      <c r="C40" s="8" t="s">
        <v>11</v>
      </c>
      <c r="D40" s="7">
        <v>0.01</v>
      </c>
      <c r="E40" s="7">
        <v>2868.6</v>
      </c>
      <c r="F40" s="4"/>
    </row>
    <row r="41" spans="1:7" s="1" customFormat="1" ht="94.5" x14ac:dyDescent="0.25">
      <c r="A41" s="7">
        <v>13</v>
      </c>
      <c r="B41" s="8" t="s">
        <v>64</v>
      </c>
      <c r="C41" s="8" t="s">
        <v>50</v>
      </c>
      <c r="D41" s="7">
        <f>0.02</f>
        <v>0.02</v>
      </c>
      <c r="E41" s="7">
        <f>2375.6</f>
        <v>2375.6</v>
      </c>
      <c r="F41" s="4"/>
    </row>
    <row r="42" spans="1:7" s="1" customFormat="1" ht="31.5" x14ac:dyDescent="0.25">
      <c r="A42" s="7">
        <v>14</v>
      </c>
      <c r="B42" s="8" t="s">
        <v>86</v>
      </c>
      <c r="C42" s="8" t="s">
        <v>33</v>
      </c>
      <c r="D42" s="7">
        <f>8</f>
        <v>8</v>
      </c>
      <c r="E42" s="7">
        <f>115810.2</f>
        <v>115810.2</v>
      </c>
      <c r="F42" s="4"/>
    </row>
    <row r="43" spans="1:7" s="1" customFormat="1" ht="31.5" x14ac:dyDescent="0.25">
      <c r="A43" s="7">
        <v>15</v>
      </c>
      <c r="B43" s="8" t="s">
        <v>46</v>
      </c>
      <c r="C43" s="8" t="s">
        <v>33</v>
      </c>
      <c r="D43" s="7">
        <f>8</f>
        <v>8</v>
      </c>
      <c r="E43" s="7">
        <f>50385.2</f>
        <v>50385.2</v>
      </c>
      <c r="F43" s="4"/>
    </row>
    <row r="44" spans="1:7" s="1" customFormat="1" ht="31.5" x14ac:dyDescent="0.25">
      <c r="A44" s="7">
        <v>16</v>
      </c>
      <c r="B44" s="8" t="s">
        <v>45</v>
      </c>
      <c r="C44" s="8" t="s">
        <v>27</v>
      </c>
      <c r="D44" s="7">
        <f>0.01</f>
        <v>0.01</v>
      </c>
      <c r="E44" s="7">
        <f>889.2</f>
        <v>889.2</v>
      </c>
      <c r="F44" s="4"/>
    </row>
    <row r="45" spans="1:7" s="1" customFormat="1" ht="47.25" x14ac:dyDescent="0.25">
      <c r="A45" s="7">
        <v>17</v>
      </c>
      <c r="B45" s="8" t="s">
        <v>60</v>
      </c>
      <c r="C45" s="8" t="s">
        <v>41</v>
      </c>
      <c r="D45" s="7">
        <f>7</f>
        <v>7</v>
      </c>
      <c r="E45" s="7">
        <f>39358</f>
        <v>39358</v>
      </c>
      <c r="F45" s="4"/>
    </row>
    <row r="46" spans="1:7" s="1" customFormat="1" ht="47.25" x14ac:dyDescent="0.25">
      <c r="A46" s="7">
        <v>18</v>
      </c>
      <c r="B46" s="8" t="s">
        <v>48</v>
      </c>
      <c r="C46" s="8" t="s">
        <v>41</v>
      </c>
      <c r="D46" s="7">
        <f>5+2+2+2+3+1</f>
        <v>15</v>
      </c>
      <c r="E46" s="7">
        <f>26984.8+11725.8+11725.8+12476+18714.4+6238.4</f>
        <v>87865.199999999983</v>
      </c>
      <c r="F46" s="4"/>
    </row>
    <row r="47" spans="1:7" s="1" customFormat="1" ht="47.25" x14ac:dyDescent="0.25">
      <c r="A47" s="7">
        <v>19</v>
      </c>
      <c r="B47" s="8" t="s">
        <v>44</v>
      </c>
      <c r="C47" s="8" t="s">
        <v>41</v>
      </c>
      <c r="D47" s="7">
        <f>2</f>
        <v>2</v>
      </c>
      <c r="E47" s="7">
        <f>11469</f>
        <v>11469</v>
      </c>
      <c r="F47" s="4"/>
    </row>
    <row r="48" spans="1:7" s="1" customFormat="1" ht="47.25" x14ac:dyDescent="0.25">
      <c r="A48" s="7">
        <v>20</v>
      </c>
      <c r="B48" s="8" t="s">
        <v>43</v>
      </c>
      <c r="C48" s="8" t="s">
        <v>41</v>
      </c>
      <c r="D48" s="7">
        <f>4+2+4+2+3+2</f>
        <v>17</v>
      </c>
      <c r="E48" s="7">
        <f>20568.2+10494+20986+11421+17132+12171.2</f>
        <v>92772.4</v>
      </c>
      <c r="F48" s="4"/>
    </row>
    <row r="49" spans="1:6" s="1" customFormat="1" ht="31.5" x14ac:dyDescent="0.25">
      <c r="A49" s="7">
        <v>21</v>
      </c>
      <c r="B49" s="8" t="s">
        <v>83</v>
      </c>
      <c r="C49" s="8" t="s">
        <v>63</v>
      </c>
      <c r="D49" s="7">
        <f>0.1</f>
        <v>0.1</v>
      </c>
      <c r="E49" s="7">
        <f>388</f>
        <v>388</v>
      </c>
      <c r="F49" s="4"/>
    </row>
    <row r="50" spans="1:6" s="1" customFormat="1" ht="31.5" x14ac:dyDescent="0.25">
      <c r="A50" s="7">
        <v>22</v>
      </c>
      <c r="B50" s="8" t="s">
        <v>84</v>
      </c>
      <c r="C50" s="8" t="s">
        <v>63</v>
      </c>
      <c r="D50" s="7">
        <v>0.1</v>
      </c>
      <c r="E50" s="7">
        <f>1339.2</f>
        <v>1339.2</v>
      </c>
      <c r="F50" s="4"/>
    </row>
    <row r="51" spans="1:6" s="1" customFormat="1" ht="47.25" x14ac:dyDescent="0.25">
      <c r="A51" s="7">
        <v>23</v>
      </c>
      <c r="B51" s="8" t="s">
        <v>96</v>
      </c>
      <c r="C51" s="8" t="s">
        <v>97</v>
      </c>
      <c r="D51" s="7">
        <f>0.1</f>
        <v>0.1</v>
      </c>
      <c r="E51" s="15">
        <f>2679.2</f>
        <v>2679.2</v>
      </c>
      <c r="F51" s="4"/>
    </row>
    <row r="52" spans="1:6" s="1" customFormat="1" ht="63" x14ac:dyDescent="0.25">
      <c r="A52" s="7">
        <v>24</v>
      </c>
      <c r="B52" s="8" t="s">
        <v>99</v>
      </c>
      <c r="C52" s="8" t="s">
        <v>11</v>
      </c>
      <c r="D52" s="7">
        <f>0.06</f>
        <v>0.06</v>
      </c>
      <c r="E52" s="15">
        <f>23908.2</f>
        <v>23908.2</v>
      </c>
      <c r="F52" s="4"/>
    </row>
    <row r="53" spans="1:6" s="1" customFormat="1" ht="78.75" x14ac:dyDescent="0.25">
      <c r="A53" s="7">
        <v>25</v>
      </c>
      <c r="B53" s="8" t="s">
        <v>91</v>
      </c>
      <c r="C53" s="8" t="s">
        <v>13</v>
      </c>
      <c r="D53" s="7">
        <f>0.02</f>
        <v>0.02</v>
      </c>
      <c r="E53" s="15">
        <f>1317</f>
        <v>1317</v>
      </c>
      <c r="F53" s="4"/>
    </row>
    <row r="54" spans="1:6" s="1" customFormat="1" ht="31.5" x14ac:dyDescent="0.25">
      <c r="A54" s="7">
        <v>26</v>
      </c>
      <c r="B54" s="8" t="s">
        <v>92</v>
      </c>
      <c r="C54" s="8" t="s">
        <v>93</v>
      </c>
      <c r="D54" s="7">
        <f>0.03+0.04</f>
        <v>7.0000000000000007E-2</v>
      </c>
      <c r="E54" s="15">
        <f>2501.6+3336.2</f>
        <v>5837.7999999999993</v>
      </c>
      <c r="F54" s="4"/>
    </row>
    <row r="55" spans="1:6" s="1" customFormat="1" ht="15.75" x14ac:dyDescent="0.25">
      <c r="A55" s="7">
        <v>27</v>
      </c>
      <c r="B55" s="8" t="s">
        <v>94</v>
      </c>
      <c r="C55" s="8" t="s">
        <v>68</v>
      </c>
      <c r="D55" s="7">
        <f>0.46</f>
        <v>0.46</v>
      </c>
      <c r="E55" s="15">
        <f>23022.4</f>
        <v>23022.400000000001</v>
      </c>
      <c r="F55" s="4"/>
    </row>
    <row r="56" spans="1:6" s="1" customFormat="1" ht="94.5" x14ac:dyDescent="0.25">
      <c r="A56" s="7">
        <v>28</v>
      </c>
      <c r="B56" s="8" t="s">
        <v>90</v>
      </c>
      <c r="C56" s="8" t="s">
        <v>57</v>
      </c>
      <c r="D56" s="7">
        <f>0.037</f>
        <v>3.6999999999999998E-2</v>
      </c>
      <c r="E56" s="15">
        <f>6676.6</f>
        <v>6676.6</v>
      </c>
      <c r="F56" s="4"/>
    </row>
    <row r="57" spans="1:6" s="1" customFormat="1" ht="78.75" x14ac:dyDescent="0.25">
      <c r="A57" s="7">
        <v>29</v>
      </c>
      <c r="B57" s="8" t="s">
        <v>58</v>
      </c>
      <c r="C57" s="8" t="s">
        <v>13</v>
      </c>
      <c r="D57" s="7">
        <f>0.18</f>
        <v>0.18</v>
      </c>
      <c r="E57" s="15">
        <f>5589</f>
        <v>5589</v>
      </c>
      <c r="F57" s="4"/>
    </row>
    <row r="58" spans="1:6" s="1" customFormat="1" ht="15.75" x14ac:dyDescent="0.25">
      <c r="A58" s="7">
        <v>30</v>
      </c>
      <c r="B58" s="8" t="s">
        <v>100</v>
      </c>
      <c r="C58" s="8" t="s">
        <v>101</v>
      </c>
      <c r="D58" s="7">
        <f>0.002</f>
        <v>2E-3</v>
      </c>
      <c r="E58" s="15">
        <f>348.2</f>
        <v>348.2</v>
      </c>
      <c r="F58" s="4"/>
    </row>
    <row r="59" spans="1:6" s="1" customFormat="1" ht="31.5" x14ac:dyDescent="0.25">
      <c r="A59" s="7">
        <v>31</v>
      </c>
      <c r="B59" s="8" t="s">
        <v>81</v>
      </c>
      <c r="C59" s="8" t="s">
        <v>82</v>
      </c>
      <c r="D59" s="7">
        <v>0.01</v>
      </c>
      <c r="E59" s="7">
        <f>574.6</f>
        <v>574.6</v>
      </c>
      <c r="F59" s="4"/>
    </row>
    <row r="60" spans="1:6" s="1" customFormat="1" ht="15.75" x14ac:dyDescent="0.25">
      <c r="A60" s="7">
        <v>32</v>
      </c>
      <c r="B60" s="8" t="s">
        <v>104</v>
      </c>
      <c r="C60" s="8" t="s">
        <v>68</v>
      </c>
      <c r="D60" s="7">
        <v>0.14000000000000001</v>
      </c>
      <c r="E60" s="7">
        <f>1999.2</f>
        <v>1999.2</v>
      </c>
      <c r="F60" s="4"/>
    </row>
    <row r="61" spans="1:6" s="1" customFormat="1" ht="31.5" x14ac:dyDescent="0.25">
      <c r="A61" s="7">
        <v>33</v>
      </c>
      <c r="B61" s="8" t="s">
        <v>105</v>
      </c>
      <c r="C61" s="8" t="s">
        <v>12</v>
      </c>
      <c r="D61" s="7">
        <v>0.14000000000000001</v>
      </c>
      <c r="E61" s="7">
        <f>35485.2</f>
        <v>35485.199999999997</v>
      </c>
      <c r="F61" s="4"/>
    </row>
    <row r="62" spans="1:6" s="1" customFormat="1" ht="15.75" x14ac:dyDescent="0.25">
      <c r="A62" s="7">
        <v>34</v>
      </c>
      <c r="B62" s="8" t="s">
        <v>65</v>
      </c>
      <c r="C62" s="8" t="s">
        <v>66</v>
      </c>
      <c r="D62" s="7">
        <f>0.5+2</f>
        <v>2.5</v>
      </c>
      <c r="E62" s="15">
        <f>1255.8+6154</f>
        <v>7409.8</v>
      </c>
      <c r="F62" s="4"/>
    </row>
    <row r="63" spans="1:6" s="1" customFormat="1" ht="31.5" x14ac:dyDescent="0.25">
      <c r="A63" s="7">
        <v>35</v>
      </c>
      <c r="B63" s="8" t="s">
        <v>95</v>
      </c>
      <c r="C63" s="8" t="s">
        <v>102</v>
      </c>
      <c r="D63" s="7">
        <v>2</v>
      </c>
      <c r="E63" s="15">
        <v>1600</v>
      </c>
      <c r="F63" s="4"/>
    </row>
    <row r="64" spans="1:6" s="1" customFormat="1" ht="31.5" x14ac:dyDescent="0.25">
      <c r="A64" s="7">
        <v>36</v>
      </c>
      <c r="B64" s="8" t="s">
        <v>55</v>
      </c>
      <c r="C64" s="8" t="s">
        <v>56</v>
      </c>
      <c r="D64" s="7">
        <f>388+10+40</f>
        <v>438</v>
      </c>
      <c r="E64" s="15">
        <f>252200+6500+26000</f>
        <v>284700</v>
      </c>
      <c r="F64" s="4"/>
    </row>
    <row r="65" spans="1:10" s="1" customFormat="1" ht="31.5" x14ac:dyDescent="0.25">
      <c r="A65" s="7">
        <v>37</v>
      </c>
      <c r="B65" s="8" t="s">
        <v>53</v>
      </c>
      <c r="C65" s="8" t="s">
        <v>54</v>
      </c>
      <c r="D65" s="7">
        <f>1540+240+66+26+224+81</f>
        <v>2177</v>
      </c>
      <c r="E65" s="15">
        <f>51328+7999+3300+1083+11200+3375</f>
        <v>78285</v>
      </c>
      <c r="F65" s="4"/>
    </row>
    <row r="66" spans="1:10" s="1" customFormat="1" ht="15.75" x14ac:dyDescent="0.25">
      <c r="A66" s="7"/>
      <c r="B66" s="8"/>
      <c r="C66" s="8"/>
      <c r="D66" s="7"/>
      <c r="E66" s="9">
        <f>SUM(E29:E65)</f>
        <v>1010112.7999999998</v>
      </c>
      <c r="F66" s="4"/>
    </row>
    <row r="67" spans="1:10" ht="15.75" x14ac:dyDescent="0.25">
      <c r="A67" s="7"/>
      <c r="B67" s="8" t="s">
        <v>8</v>
      </c>
      <c r="C67" s="7"/>
      <c r="D67" s="7"/>
      <c r="E67" s="9">
        <f>E27+E66</f>
        <v>1732515.6</v>
      </c>
      <c r="F67" s="4"/>
    </row>
    <row r="68" spans="1:10" ht="15.75" x14ac:dyDescent="0.25">
      <c r="A68" s="7"/>
      <c r="B68" s="8"/>
      <c r="C68" s="7"/>
      <c r="D68" s="7"/>
      <c r="E68" s="7"/>
      <c r="F68" s="4"/>
    </row>
    <row r="69" spans="1:10" ht="15.75" x14ac:dyDescent="0.25">
      <c r="A69" s="10"/>
      <c r="B69" s="10"/>
      <c r="C69" s="10"/>
      <c r="D69" s="10"/>
      <c r="E69" s="10"/>
      <c r="F69" s="4"/>
      <c r="J69" t="s">
        <v>34</v>
      </c>
    </row>
    <row r="70" spans="1:10" ht="15.75" x14ac:dyDescent="0.25">
      <c r="A70" s="10"/>
      <c r="B70" s="10" t="s">
        <v>17</v>
      </c>
      <c r="C70" s="10" t="s">
        <v>36</v>
      </c>
      <c r="D70" s="10"/>
      <c r="E70" s="10"/>
      <c r="F70" s="1"/>
    </row>
    <row r="71" spans="1:10" x14ac:dyDescent="0.25">
      <c r="A71" s="2"/>
      <c r="B71" s="2"/>
      <c r="C71" s="2"/>
      <c r="D71" s="2"/>
      <c r="E71" s="2"/>
      <c r="F71" s="1"/>
    </row>
    <row r="72" spans="1:10" x14ac:dyDescent="0.25">
      <c r="A72" s="2"/>
      <c r="B72" s="2"/>
      <c r="C72" s="2"/>
      <c r="D72" s="2"/>
      <c r="E72" s="2"/>
      <c r="F72" s="1"/>
    </row>
    <row r="73" spans="1:10" x14ac:dyDescent="0.25">
      <c r="A73" s="2"/>
      <c r="B73" s="2" t="s">
        <v>18</v>
      </c>
      <c r="C73" s="2"/>
      <c r="D73" s="14"/>
      <c r="E73" s="2"/>
      <c r="F73" s="13"/>
      <c r="G73" s="13"/>
    </row>
    <row r="74" spans="1:10" x14ac:dyDescent="0.25">
      <c r="A74" s="2"/>
      <c r="B74" s="2"/>
      <c r="C74" s="2"/>
      <c r="D74" s="2"/>
      <c r="E74" s="2"/>
      <c r="F74" s="13"/>
      <c r="G74" s="13"/>
    </row>
    <row r="75" spans="1:10" x14ac:dyDescent="0.25">
      <c r="A75" s="2"/>
      <c r="B75" s="2"/>
      <c r="C75" s="2" t="s">
        <v>37</v>
      </c>
      <c r="D75" s="14">
        <f>17115.8+13250.2+12883+15685+467238+64743+14973.2+18237.2+14239.4+16648.4+16950.2+50439.4</f>
        <v>722402.79999999993</v>
      </c>
      <c r="E75" s="14"/>
      <c r="F75" s="13"/>
      <c r="G75" s="13"/>
    </row>
    <row r="76" spans="1:10" x14ac:dyDescent="0.25">
      <c r="A76" s="2"/>
      <c r="B76" s="2"/>
      <c r="C76" s="2" t="s">
        <v>38</v>
      </c>
      <c r="D76" s="2">
        <f>109266+213996.8+14000+52189.6+73376.2+2848.8+14458.2+243714+53773.2+29701.6+105730.8+97057.6</f>
        <v>1010112.7999999999</v>
      </c>
      <c r="E76" s="2"/>
    </row>
    <row r="77" spans="1:10" x14ac:dyDescent="0.25">
      <c r="A77" s="2"/>
      <c r="B77" s="2"/>
      <c r="C77" s="2"/>
      <c r="D77" s="14">
        <f>D75+D76</f>
        <v>1732515.5999999999</v>
      </c>
      <c r="E77" s="14"/>
    </row>
    <row r="78" spans="1:10" x14ac:dyDescent="0.25">
      <c r="A78" s="2"/>
      <c r="B78" s="2"/>
      <c r="C78" s="2" t="s">
        <v>39</v>
      </c>
      <c r="D78" s="14">
        <f>126381.8+227247+26883+67874.6+540614.2+67591.8+29431.4+261951.2+68012.6+46350+122681+147497</f>
        <v>1732515.5999999999</v>
      </c>
      <c r="E78" s="2"/>
      <c r="F78" s="13"/>
    </row>
    <row r="79" spans="1:10" x14ac:dyDescent="0.25">
      <c r="A79" s="2"/>
      <c r="B79" s="2"/>
      <c r="C79" s="2"/>
      <c r="D79" s="2"/>
      <c r="E79" s="2"/>
    </row>
    <row r="1115" spans="7:7" x14ac:dyDescent="0.25">
      <c r="G1115" t="s">
        <v>35</v>
      </c>
    </row>
    <row r="1117" spans="7:7" x14ac:dyDescent="0.25">
      <c r="G1117" t="s">
        <v>32</v>
      </c>
    </row>
  </sheetData>
  <pageMargins left="0.78740157480314965" right="0.11811023622047245" top="0.15748031496062992" bottom="0.15748031496062992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2023-01-24T11:43:19Z</cp:lastPrinted>
  <dcterms:created xsi:type="dcterms:W3CDTF">2016-09-29T06:37:31Z</dcterms:created>
  <dcterms:modified xsi:type="dcterms:W3CDTF">2023-01-24T11:43:47Z</dcterms:modified>
</cp:coreProperties>
</file>