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5" i="1" l="1"/>
  <c r="D65" i="1"/>
  <c r="E64" i="1"/>
  <c r="E66" i="1"/>
  <c r="D66" i="1"/>
  <c r="E31" i="1"/>
  <c r="D31" i="1"/>
  <c r="E46" i="1"/>
  <c r="D46" i="1"/>
  <c r="E57" i="1"/>
  <c r="D57" i="1"/>
  <c r="E35" i="1"/>
  <c r="D35" i="1"/>
  <c r="E53" i="1"/>
  <c r="D53" i="1"/>
  <c r="E34" i="1"/>
  <c r="D34" i="1"/>
  <c r="E54" i="1"/>
  <c r="D54" i="1"/>
  <c r="E27" i="1"/>
  <c r="E26" i="1"/>
  <c r="D26" i="1"/>
  <c r="E10" i="1"/>
  <c r="D10" i="1"/>
  <c r="E12" i="1"/>
  <c r="E20" i="1"/>
  <c r="E15" i="1"/>
  <c r="D15" i="1"/>
  <c r="E21" i="1"/>
  <c r="D21" i="1"/>
  <c r="C79" i="1"/>
  <c r="C77" i="1"/>
  <c r="C76" i="1"/>
  <c r="E62" i="1" l="1"/>
  <c r="D62" i="1"/>
  <c r="E63" i="1"/>
  <c r="D63" i="1"/>
  <c r="E41" i="1"/>
  <c r="D41" i="1"/>
  <c r="E43" i="1"/>
  <c r="D43" i="1"/>
  <c r="E11" i="1"/>
  <c r="D11" i="1"/>
  <c r="E56" i="1" l="1"/>
  <c r="D56" i="1"/>
  <c r="E55" i="1"/>
  <c r="D55" i="1"/>
  <c r="E42" i="1"/>
  <c r="D42" i="1"/>
  <c r="E49" i="1"/>
  <c r="D49" i="1"/>
  <c r="E24" i="1" l="1"/>
  <c r="D24" i="1"/>
  <c r="E36" i="1" l="1"/>
  <c r="D36" i="1"/>
  <c r="E52" i="1"/>
  <c r="D52" i="1"/>
  <c r="E45" i="1"/>
  <c r="D45" i="1"/>
  <c r="E44" i="1" l="1"/>
  <c r="D44" i="1"/>
  <c r="D30" i="1"/>
  <c r="E51" i="1" l="1"/>
  <c r="D51" i="1"/>
  <c r="E50" i="1"/>
  <c r="D50" i="1"/>
  <c r="E23" i="1"/>
  <c r="D23" i="1"/>
  <c r="E61" i="1" l="1"/>
  <c r="D61" i="1"/>
  <c r="E40" i="1"/>
  <c r="D40" i="1"/>
  <c r="E39" i="1"/>
  <c r="D39" i="1"/>
  <c r="E38" i="1"/>
  <c r="D38" i="1"/>
  <c r="E37" i="1"/>
  <c r="D37" i="1"/>
  <c r="E33" i="1"/>
  <c r="D33" i="1"/>
  <c r="E32" i="1"/>
  <c r="D32" i="1"/>
  <c r="E60" i="1" l="1"/>
  <c r="E67" i="1" s="1"/>
  <c r="D19" i="1"/>
  <c r="E19" i="1"/>
  <c r="E18" i="1"/>
  <c r="E17" i="1"/>
  <c r="D17" i="1"/>
  <c r="E16" i="1"/>
  <c r="D16" i="1"/>
  <c r="E14" i="1"/>
  <c r="E13" i="1"/>
  <c r="D13" i="1"/>
  <c r="D60" i="1"/>
  <c r="E22" i="1"/>
  <c r="D22" i="1"/>
  <c r="E28" i="1" l="1"/>
  <c r="F76" i="1"/>
  <c r="C78" i="1" l="1"/>
  <c r="E68" i="1" l="1"/>
</calcChain>
</file>

<file path=xl/sharedStrings.xml><?xml version="1.0" encoding="utf-8"?>
<sst xmlns="http://schemas.openxmlformats.org/spreadsheetml/2006/main" count="130" uniqueCount="100">
  <si>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</si>
  <si>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</si>
  <si>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</si>
  <si>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</si>
  <si>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</si>
  <si>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</si>
  <si>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</si>
  <si>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</si>
  <si>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</si>
  <si>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</si>
  <si>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</si>
  <si>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</si>
  <si>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</si>
  <si>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</si>
  <si>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</si>
  <si>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</si>
  <si>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</si>
  <si>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</si>
  <si>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</si>
  <si>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</si>
  <si>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</si>
  <si>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</si>
  <si>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</si>
  <si>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</si>
  <si>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</si>
  <si>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</si>
  <si>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</si>
  <si>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</si>
  <si>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</si>
  <si>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</si>
  <si>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</si>
  <si>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100м3 воды</t>
  </si>
  <si>
    <t>,</t>
  </si>
  <si>
    <t>1шт.</t>
  </si>
  <si>
    <t>100м</t>
  </si>
  <si>
    <t xml:space="preserve"> </t>
  </si>
  <si>
    <t>,,</t>
  </si>
  <si>
    <t>Рыжов А.А.</t>
  </si>
  <si>
    <t>Смена ламп светодиодных</t>
  </si>
  <si>
    <t>1 врезка</t>
  </si>
  <si>
    <t>Водоотлив  из подвала электрическими насосами</t>
  </si>
  <si>
    <t>Врезка в действующие внутренние сети трубопроводов отопления и водоснабжения диам.15мм</t>
  </si>
  <si>
    <t>Врезка в действующие внутренние сети трубопроводов отопления и водоснабжения диам.20мм</t>
  </si>
  <si>
    <t>Водоотлив  из подвала ведрами</t>
  </si>
  <si>
    <t>Прокладка внутренних трубопроводов водоснабжения и отопления из полипропиленовых труб: диам. 25мм</t>
  </si>
  <si>
    <t>Гидравлическое испытание аппарата с внутренней трубчаткой</t>
  </si>
  <si>
    <t xml:space="preserve">                                        по улице Талсинская </t>
  </si>
  <si>
    <t>Прокладка внутренних трубопроводов водоснабжения и отопления из полипропиленовых труб: диам. 32мм</t>
  </si>
  <si>
    <t>Доплаты уборщицам за уборку МОП</t>
  </si>
  <si>
    <t>Разборка трубопроводов из водогазопроводных труб диам до 32мм</t>
  </si>
  <si>
    <t>100 сгонов</t>
  </si>
  <si>
    <t>Смена кранов на шаровые краны диам.15,25,32 мм</t>
  </si>
  <si>
    <t>Смена сгонов у трубопроводов диаметром до 32мм</t>
  </si>
  <si>
    <t>Врезка в действующие внутренние сети трубопроводов отопления и водоснабжения диам.32мм</t>
  </si>
  <si>
    <t>Установка насоса</t>
  </si>
  <si>
    <t>1 насос</t>
  </si>
  <si>
    <t>Механизированная уборка снега на придомовой территории</t>
  </si>
  <si>
    <t>мин</t>
  </si>
  <si>
    <t>Контейнер мусорный ТКО-0,4м3 с крышкой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</si>
  <si>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</si>
  <si>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100 соединений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</si>
  <si>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</si>
  <si>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Укрепление оконных и дверных коробок без конопатки</t>
  </si>
  <si>
    <t>100 коробок</t>
  </si>
  <si>
    <t>1 соединение</t>
  </si>
  <si>
    <t>Услуги по погрузке снега трактором в машину с вывозом и утилизацией</t>
  </si>
  <si>
    <t>м3</t>
  </si>
  <si>
    <t>имущества МКД, выполненных за 2022  года на жилом доме № 21</t>
  </si>
  <si>
    <t>10фильтров</t>
  </si>
  <si>
    <t>Очистка канализационной сети дворовой</t>
  </si>
  <si>
    <t>100шт.</t>
  </si>
  <si>
    <t>Кабель двух-четырехжильный</t>
  </si>
  <si>
    <t>Усиление сварных швов (наплавкой)</t>
  </si>
  <si>
    <t>1 м шва</t>
  </si>
  <si>
    <t>Установка фланцевых соединений на стальных трубопроводах диаметром 65мм</t>
  </si>
  <si>
    <t>Установка кранов шаровых на трубопроводах из стальных труб диаметром 65мм</t>
  </si>
  <si>
    <t>Автомат  одно-,двух-,трехполюсных,установленный на конструкции</t>
  </si>
  <si>
    <t>Демонтаж грязевиков</t>
  </si>
  <si>
    <t>Установка грязевиков наружным диам. патрубков до 108 мм после прочистки</t>
  </si>
  <si>
    <t>Прочистка фильтров диам. 100мм</t>
  </si>
  <si>
    <t>Прочистка фильтров диам. 80мм</t>
  </si>
  <si>
    <t>Смена вентилей и клапанов обратных муфтовых диаметром до 20мм</t>
  </si>
  <si>
    <t>Смена вентилей и клапанов обратных муфтовых диаметром до 32мм</t>
  </si>
  <si>
    <t>Смена внутренних трубопроводов  с заготовкой труб в построечных условиях  диам.до 32мм</t>
  </si>
  <si>
    <t>Очистка внутренней поверхности:теплообменного аппарата</t>
  </si>
  <si>
    <t>Смена трубопроводов из полиэтиленовых канализационных труб диаметром до 100мм</t>
  </si>
  <si>
    <t>100м трубопровода с фасонными частями</t>
  </si>
  <si>
    <t>Выполнение работы(оказание услуги) по организации государственной поверки приборов учета тепловой энергии</t>
  </si>
  <si>
    <t>услуга</t>
  </si>
  <si>
    <t>Смена внутренних трубопроводов  с заготовкой труб в построечных условиях  диам.до 50мм</t>
  </si>
  <si>
    <t>Прокладка внутренних трубопроводов водоснабжения и отопления из полипропиленовых труб: диам. 20мм</t>
  </si>
  <si>
    <t>Ремонт штукатурки гладких фасадов по камню и бетону</t>
  </si>
  <si>
    <t>100м2 отремонтированной поверхности</t>
  </si>
  <si>
    <t xml:space="preserve">Улучшенная масляная окраска ранее окрашенных фасадов </t>
  </si>
  <si>
    <t>Смена внутренних трубопроводов  с заготовкой труб в построечных условиях  диам.до 20мм</t>
  </si>
  <si>
    <t>Ремонт приемного клапана мусоропровода</t>
  </si>
  <si>
    <t>Механизированная обработка ПСС  придомовой территории</t>
  </si>
  <si>
    <t>Регулировка дверного доводчика</t>
  </si>
  <si>
    <t>Смена розеток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</si>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</sst>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6"/>
  <sheetViews>
    <sheetView tabSelected="1" topLeftCell="A37" zoomScale="130" zoomScaleNormal="130" workbookViewId="0">
      <selection activeCell="G19" sqref="G19"/>
    </sheetView>
  </sheetViews>
  <sheetFormatPr defaultRowHeight="15" x14ac:dyDescent="0.25"/>
  <cols>
    <col min="1" max="1" width="5.140625" customWidth="1"/>
    <col min="2" max="2" width="47.42578125" customWidth="1"/>
    <col min="3" max="3" width="12" customWidth="1"/>
    <col min="4" max="4" width="10.7109375" customWidth="1"/>
    <col min="5" max="5" width="12.28515625" customWidth="1"/>
    <col min="7" max="7" width="11.7109375" customWidth="1"/>
    <col min="9" max="9" width="10.42578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21</v>
      </c>
      <c r="C3" s="3"/>
      <c r="D3" s="3"/>
      <c r="E3" s="3"/>
      <c r="F3" s="1"/>
    </row>
    <row r="4" spans="1:6" ht="15.75" x14ac:dyDescent="0.25">
      <c r="A4" s="4"/>
      <c r="B4" s="3" t="s">
        <v>67</v>
      </c>
      <c r="C4" s="3"/>
      <c r="D4" s="3"/>
      <c r="E4" s="3"/>
      <c r="F4" s="1"/>
    </row>
    <row r="5" spans="1:6" ht="15.75" x14ac:dyDescent="0.25">
      <c r="A5" s="4"/>
      <c r="B5" s="3" t="s">
        <v>46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38</v>
      </c>
      <c r="C10" s="8" t="s">
        <v>12</v>
      </c>
      <c r="D10" s="7">
        <f>0.13+0.01+0.02+0.03+0.01+0.01+0.29</f>
        <v>0.5</v>
      </c>
      <c r="E10" s="7">
        <f>1842.4+156.4+323.4+486.4+161.8+166.8+4805.6</f>
        <v>7942.8000000000011</v>
      </c>
      <c r="F10" s="4"/>
    </row>
    <row r="11" spans="1:6" s="1" customFormat="1" ht="31.5" x14ac:dyDescent="0.25">
      <c r="A11" s="7">
        <v>2</v>
      </c>
      <c r="B11" s="8" t="s">
        <v>28</v>
      </c>
      <c r="C11" s="8" t="s">
        <v>12</v>
      </c>
      <c r="D11" s="7">
        <f>0.06</f>
        <v>0.06</v>
      </c>
      <c r="E11" s="7">
        <f>9748</f>
        <v>9748</v>
      </c>
      <c r="F11" s="4"/>
    </row>
    <row r="12" spans="1:6" s="1" customFormat="1" ht="47.25" x14ac:dyDescent="0.25">
      <c r="A12" s="7">
        <v>3</v>
      </c>
      <c r="B12" s="8" t="s">
        <v>26</v>
      </c>
      <c r="C12" s="8" t="s">
        <v>27</v>
      </c>
      <c r="D12" s="7">
        <v>0.36</v>
      </c>
      <c r="E12" s="7">
        <f>3522.2+1188.2+1188.2+1188.2+1278+1278+1278+1367.8+1367.8+1367.8</f>
        <v>15024.199999999997</v>
      </c>
      <c r="F12" s="4"/>
    </row>
    <row r="13" spans="1:6" ht="47.25" x14ac:dyDescent="0.25">
      <c r="A13" s="7">
        <v>4</v>
      </c>
      <c r="B13" s="8" t="s">
        <v>14</v>
      </c>
      <c r="C13" s="8" t="s">
        <v>11</v>
      </c>
      <c r="D13" s="7">
        <f>19.34</f>
        <v>19.34</v>
      </c>
      <c r="E13" s="7">
        <f>133559.4</f>
        <v>133559.4</v>
      </c>
      <c r="F13" s="4"/>
    </row>
    <row r="14" spans="1:6" ht="47.25" x14ac:dyDescent="0.25">
      <c r="A14" s="7">
        <v>5</v>
      </c>
      <c r="B14" s="8" t="s">
        <v>15</v>
      </c>
      <c r="C14" s="8" t="s">
        <v>11</v>
      </c>
      <c r="D14" s="7">
        <v>0.65</v>
      </c>
      <c r="E14" s="7">
        <f>4547.6</f>
        <v>4547.6000000000004</v>
      </c>
      <c r="F14" s="4"/>
    </row>
    <row r="15" spans="1:6" s="1" customFormat="1" ht="31.5" x14ac:dyDescent="0.25">
      <c r="A15" s="7">
        <v>6</v>
      </c>
      <c r="B15" s="8" t="s">
        <v>16</v>
      </c>
      <c r="C15" s="8" t="s">
        <v>12</v>
      </c>
      <c r="D15" s="7">
        <f>0.05+0.04+0.01+0.01+0.01+0.01</f>
        <v>0.12999999999999998</v>
      </c>
      <c r="E15" s="15">
        <f>5634+4802.2+1256.4+1256.4+1256.4</f>
        <v>14205.4</v>
      </c>
      <c r="F15" s="4"/>
    </row>
    <row r="16" spans="1:6" s="1" customFormat="1" ht="15.75" x14ac:dyDescent="0.25">
      <c r="A16" s="7">
        <v>7</v>
      </c>
      <c r="B16" s="8" t="s">
        <v>77</v>
      </c>
      <c r="C16" s="8" t="s">
        <v>70</v>
      </c>
      <c r="D16" s="7">
        <f>0.01</f>
        <v>0.01</v>
      </c>
      <c r="E16" s="15">
        <f>1124.6</f>
        <v>1124.5999999999999</v>
      </c>
      <c r="F16" s="4"/>
    </row>
    <row r="17" spans="1:6" s="1" customFormat="1" ht="31.5" x14ac:dyDescent="0.25">
      <c r="A17" s="7">
        <v>8</v>
      </c>
      <c r="B17" s="8" t="s">
        <v>78</v>
      </c>
      <c r="C17" s="8" t="s">
        <v>33</v>
      </c>
      <c r="D17" s="7">
        <f>1</f>
        <v>1</v>
      </c>
      <c r="E17" s="15">
        <f>5098</f>
        <v>5098</v>
      </c>
      <c r="F17" s="4"/>
    </row>
    <row r="18" spans="1:6" s="1" customFormat="1" ht="31.5" x14ac:dyDescent="0.25">
      <c r="A18" s="7">
        <v>9</v>
      </c>
      <c r="B18" s="8" t="s">
        <v>79</v>
      </c>
      <c r="C18" s="8" t="s">
        <v>68</v>
      </c>
      <c r="D18" s="7">
        <v>0.2</v>
      </c>
      <c r="E18" s="15">
        <f>4333</f>
        <v>4333</v>
      </c>
      <c r="F18" s="4"/>
    </row>
    <row r="19" spans="1:6" s="1" customFormat="1" ht="31.5" x14ac:dyDescent="0.25">
      <c r="A19" s="7">
        <v>10</v>
      </c>
      <c r="B19" s="8" t="s">
        <v>80</v>
      </c>
      <c r="C19" s="8" t="s">
        <v>68</v>
      </c>
      <c r="D19" s="7">
        <f>0.1+0.1+0.1</f>
        <v>0.30000000000000004</v>
      </c>
      <c r="E19" s="15">
        <f>1833.8+1833.8+1833.8</f>
        <v>5501.4</v>
      </c>
      <c r="F19" s="4"/>
    </row>
    <row r="20" spans="1:6" s="1" customFormat="1" ht="78.75" x14ac:dyDescent="0.25">
      <c r="A20" s="7">
        <v>11</v>
      </c>
      <c r="B20" s="8" t="s">
        <v>22</v>
      </c>
      <c r="C20" s="8" t="s">
        <v>23</v>
      </c>
      <c r="D20" s="7">
        <v>3.28</v>
      </c>
      <c r="E20" s="7">
        <f>34257.8+11568.2+11568.2+11568.2+12443.8+12443.8+12443.8+13315.6+13315.6+13315.6</f>
        <v>146240.6</v>
      </c>
      <c r="F20" s="4"/>
    </row>
    <row r="21" spans="1:6" s="1" customFormat="1" ht="31.5" x14ac:dyDescent="0.25">
      <c r="A21" s="7">
        <v>12</v>
      </c>
      <c r="B21" s="8" t="s">
        <v>24</v>
      </c>
      <c r="C21" s="8" t="s">
        <v>25</v>
      </c>
      <c r="D21" s="7">
        <f>0.13+0.03+0.07+0.05+0.04+0.06+0.06+0.04+0.04+0.06</f>
        <v>0.58000000000000007</v>
      </c>
      <c r="E21" s="7">
        <f>6765.4+1586.2+3703.4+2645.6+2274.6+3412.8+3412.8+2436.8+2436.8+3655</f>
        <v>32329.399999999998</v>
      </c>
      <c r="F21" s="4"/>
    </row>
    <row r="22" spans="1:6" s="1" customFormat="1" ht="47.25" x14ac:dyDescent="0.25">
      <c r="A22" s="7">
        <v>13</v>
      </c>
      <c r="B22" s="8" t="s">
        <v>30</v>
      </c>
      <c r="C22" s="8" t="s">
        <v>11</v>
      </c>
      <c r="D22" s="7">
        <f>0.11</f>
        <v>0.11</v>
      </c>
      <c r="E22" s="7">
        <f>2830.6</f>
        <v>2830.6</v>
      </c>
      <c r="F22" s="4"/>
    </row>
    <row r="23" spans="1:6" s="1" customFormat="1" ht="47.25" x14ac:dyDescent="0.25">
      <c r="A23" s="7">
        <v>14</v>
      </c>
      <c r="B23" s="8" t="s">
        <v>69</v>
      </c>
      <c r="C23" s="8" t="s">
        <v>11</v>
      </c>
      <c r="D23" s="7">
        <f>0.15</f>
        <v>0.15</v>
      </c>
      <c r="E23" s="7">
        <f>12049.4</f>
        <v>12049.4</v>
      </c>
      <c r="F23" s="4"/>
    </row>
    <row r="24" spans="1:6" s="1" customFormat="1" ht="31.5" x14ac:dyDescent="0.25">
      <c r="A24" s="7">
        <v>15</v>
      </c>
      <c r="B24" s="8" t="s">
        <v>40</v>
      </c>
      <c r="C24" s="8" t="s">
        <v>31</v>
      </c>
      <c r="D24" s="7">
        <f>0.34+0.16+0.04+0.08+0.3+0.04</f>
        <v>0.96</v>
      </c>
      <c r="E24" s="7">
        <f>1639.2+787.4+197+394.2+1587.4+224.8</f>
        <v>4830</v>
      </c>
      <c r="F24" s="4"/>
    </row>
    <row r="25" spans="1:6" s="1" customFormat="1" ht="31.5" x14ac:dyDescent="0.25">
      <c r="A25" s="7">
        <v>16</v>
      </c>
      <c r="B25" s="8" t="s">
        <v>43</v>
      </c>
      <c r="C25" s="8" t="s">
        <v>31</v>
      </c>
      <c r="D25" s="7">
        <v>0.04</v>
      </c>
      <c r="E25" s="7">
        <v>4229.8</v>
      </c>
      <c r="F25" s="4"/>
    </row>
    <row r="26" spans="1:6" s="1" customFormat="1" ht="15.75" x14ac:dyDescent="0.25">
      <c r="A26" s="7">
        <v>17</v>
      </c>
      <c r="B26" s="8" t="s">
        <v>97</v>
      </c>
      <c r="C26" s="8" t="s">
        <v>33</v>
      </c>
      <c r="D26" s="7">
        <f>1</f>
        <v>1</v>
      </c>
      <c r="E26" s="7">
        <f>1275.6</f>
        <v>1275.5999999999999</v>
      </c>
      <c r="F26" s="4"/>
    </row>
    <row r="27" spans="1:6" s="1" customFormat="1" ht="15.75" x14ac:dyDescent="0.25">
      <c r="A27" s="7">
        <v>18</v>
      </c>
      <c r="B27" s="8" t="s">
        <v>95</v>
      </c>
      <c r="C27" s="8" t="s">
        <v>29</v>
      </c>
      <c r="D27" s="7">
        <v>1</v>
      </c>
      <c r="E27" s="7">
        <f>609</f>
        <v>609</v>
      </c>
      <c r="F27" s="4"/>
    </row>
    <row r="28" spans="1:6" ht="15.75" x14ac:dyDescent="0.25">
      <c r="A28" s="7"/>
      <c r="B28" s="8"/>
      <c r="C28" s="8"/>
      <c r="D28" s="7"/>
      <c r="E28" s="9">
        <f>SUM(E10:E27)</f>
        <v>405478.8</v>
      </c>
      <c r="F28" s="4"/>
    </row>
    <row r="29" spans="1:6" ht="15.75" x14ac:dyDescent="0.25">
      <c r="A29" s="7"/>
      <c r="B29" s="12" t="s">
        <v>10</v>
      </c>
      <c r="C29" s="8"/>
      <c r="D29" s="7"/>
      <c r="E29" s="7"/>
      <c r="F29" s="4"/>
    </row>
    <row r="30" spans="1:6" s="1" customFormat="1" ht="47.25" x14ac:dyDescent="0.25">
      <c r="A30" s="7">
        <v>1</v>
      </c>
      <c r="B30" s="8" t="s">
        <v>87</v>
      </c>
      <c r="C30" s="8" t="s">
        <v>88</v>
      </c>
      <c r="D30" s="7">
        <f>1</f>
        <v>1</v>
      </c>
      <c r="E30" s="7">
        <v>19200</v>
      </c>
      <c r="F30" s="4"/>
    </row>
    <row r="31" spans="1:6" s="1" customFormat="1" ht="15.75" x14ac:dyDescent="0.25">
      <c r="A31" s="7">
        <v>2</v>
      </c>
      <c r="B31" s="8" t="s">
        <v>48</v>
      </c>
      <c r="C31" s="8" t="s">
        <v>29</v>
      </c>
      <c r="D31" s="7">
        <f>10+1+1</f>
        <v>12</v>
      </c>
      <c r="E31" s="7">
        <f>84784+8478+8478</f>
        <v>101740</v>
      </c>
      <c r="F31" s="4"/>
    </row>
    <row r="32" spans="1:6" s="1" customFormat="1" ht="31.5" x14ac:dyDescent="0.25">
      <c r="A32" s="7">
        <v>3</v>
      </c>
      <c r="B32" s="8" t="s">
        <v>81</v>
      </c>
      <c r="C32" s="8" t="s">
        <v>70</v>
      </c>
      <c r="D32" s="7">
        <f>0.02</f>
        <v>0.02</v>
      </c>
      <c r="E32" s="15">
        <f>1926.4</f>
        <v>1926.4</v>
      </c>
      <c r="F32" s="4"/>
    </row>
    <row r="33" spans="1:6" s="1" customFormat="1" ht="31.5" x14ac:dyDescent="0.25">
      <c r="A33" s="7">
        <v>4</v>
      </c>
      <c r="B33" s="8" t="s">
        <v>82</v>
      </c>
      <c r="C33" s="8" t="s">
        <v>70</v>
      </c>
      <c r="D33" s="7">
        <f>0.01</f>
        <v>0.01</v>
      </c>
      <c r="E33" s="15">
        <f>1471.4</f>
        <v>1471.4</v>
      </c>
      <c r="F33" s="4"/>
    </row>
    <row r="34" spans="1:6" s="1" customFormat="1" ht="15.75" x14ac:dyDescent="0.25">
      <c r="A34" s="7">
        <v>5</v>
      </c>
      <c r="B34" s="8" t="s">
        <v>54</v>
      </c>
      <c r="C34" s="8" t="s">
        <v>55</v>
      </c>
      <c r="D34" s="7">
        <f>1+1</f>
        <v>2</v>
      </c>
      <c r="E34" s="7">
        <f>51592.4+24109</f>
        <v>75701.399999999994</v>
      </c>
      <c r="F34" s="4"/>
    </row>
    <row r="35" spans="1:6" ht="31.5" x14ac:dyDescent="0.25">
      <c r="A35" s="7">
        <v>6</v>
      </c>
      <c r="B35" s="8" t="s">
        <v>51</v>
      </c>
      <c r="C35" s="8" t="s">
        <v>12</v>
      </c>
      <c r="D35" s="7">
        <f>0.06+0.01+0.02+0.03+0.05+0.02+0.01+0.03+0.02</f>
        <v>0.24999999999999997</v>
      </c>
      <c r="E35" s="7">
        <f>5138.2+986.8+3237.6+6244.8+2153.6+1078.4+3228.4+2432</f>
        <v>24499.800000000003</v>
      </c>
      <c r="F35" s="4"/>
    </row>
    <row r="36" spans="1:6" s="1" customFormat="1" ht="15.75" x14ac:dyDescent="0.25">
      <c r="A36" s="7">
        <v>7</v>
      </c>
      <c r="B36" s="8" t="s">
        <v>19</v>
      </c>
      <c r="C36" s="8" t="s">
        <v>20</v>
      </c>
      <c r="D36" s="7">
        <f>8+8</f>
        <v>16</v>
      </c>
      <c r="E36" s="7">
        <f>9097+9097</f>
        <v>18194</v>
      </c>
      <c r="F36" s="4"/>
    </row>
    <row r="37" spans="1:6" s="1" customFormat="1" ht="47.25" x14ac:dyDescent="0.25">
      <c r="A37" s="7">
        <v>8</v>
      </c>
      <c r="B37" s="8" t="s">
        <v>49</v>
      </c>
      <c r="C37" s="8" t="s">
        <v>11</v>
      </c>
      <c r="D37" s="7">
        <f>0.2</f>
        <v>0.2</v>
      </c>
      <c r="E37" s="7">
        <f>5751</f>
        <v>5751</v>
      </c>
      <c r="F37" s="4"/>
    </row>
    <row r="38" spans="1:6" s="1" customFormat="1" ht="78.75" x14ac:dyDescent="0.25">
      <c r="A38" s="7">
        <v>9</v>
      </c>
      <c r="B38" s="8" t="s">
        <v>59</v>
      </c>
      <c r="C38" s="8" t="s">
        <v>60</v>
      </c>
      <c r="D38" s="7">
        <f>0.04</f>
        <v>0.04</v>
      </c>
      <c r="E38" s="7">
        <f>116.4</f>
        <v>116.4</v>
      </c>
      <c r="F38" s="4"/>
    </row>
    <row r="39" spans="1:6" s="1" customFormat="1" ht="47.25" x14ac:dyDescent="0.25">
      <c r="A39" s="7">
        <v>10</v>
      </c>
      <c r="B39" s="8" t="s">
        <v>44</v>
      </c>
      <c r="C39" s="8" t="s">
        <v>34</v>
      </c>
      <c r="D39" s="7">
        <f>0.04</f>
        <v>0.04</v>
      </c>
      <c r="E39" s="7">
        <f>4679.2</f>
        <v>4679.2</v>
      </c>
      <c r="F39" s="4"/>
    </row>
    <row r="40" spans="1:6" s="1" customFormat="1" ht="78.75" x14ac:dyDescent="0.25">
      <c r="A40" s="7">
        <v>11</v>
      </c>
      <c r="B40" s="8" t="s">
        <v>61</v>
      </c>
      <c r="C40" s="8" t="s">
        <v>60</v>
      </c>
      <c r="D40" s="7">
        <f>0.16</f>
        <v>0.16</v>
      </c>
      <c r="E40" s="7">
        <f>559.8</f>
        <v>559.79999999999995</v>
      </c>
      <c r="F40" s="4"/>
    </row>
    <row r="41" spans="1:6" s="1" customFormat="1" ht="47.25" x14ac:dyDescent="0.25">
      <c r="A41" s="7">
        <v>12</v>
      </c>
      <c r="B41" s="8" t="s">
        <v>47</v>
      </c>
      <c r="C41" s="8" t="s">
        <v>34</v>
      </c>
      <c r="D41" s="7">
        <f>0.16+0.01</f>
        <v>0.17</v>
      </c>
      <c r="E41" s="7">
        <f>8964+2185.8</f>
        <v>11149.8</v>
      </c>
      <c r="F41" s="4"/>
    </row>
    <row r="42" spans="1:6" s="1" customFormat="1" ht="47.25" x14ac:dyDescent="0.25">
      <c r="A42" s="7">
        <v>13</v>
      </c>
      <c r="B42" s="8" t="s">
        <v>90</v>
      </c>
      <c r="C42" s="8" t="s">
        <v>34</v>
      </c>
      <c r="D42" s="7">
        <f>0.01</f>
        <v>0.01</v>
      </c>
      <c r="E42" s="7">
        <f>2533.2</f>
        <v>2533.1999999999998</v>
      </c>
      <c r="F42" s="4"/>
    </row>
    <row r="43" spans="1:6" s="1" customFormat="1" ht="47.25" x14ac:dyDescent="0.25">
      <c r="A43" s="7">
        <v>14</v>
      </c>
      <c r="B43" s="8" t="s">
        <v>94</v>
      </c>
      <c r="C43" s="8" t="s">
        <v>11</v>
      </c>
      <c r="D43" s="7">
        <f>0.03</f>
        <v>0.03</v>
      </c>
      <c r="E43" s="7">
        <f>2875.4</f>
        <v>2875.4</v>
      </c>
      <c r="F43" s="4"/>
    </row>
    <row r="44" spans="1:6" s="1" customFormat="1" ht="47.25" x14ac:dyDescent="0.25">
      <c r="A44" s="7">
        <v>15</v>
      </c>
      <c r="B44" s="8" t="s">
        <v>83</v>
      </c>
      <c r="C44" s="8" t="s">
        <v>11</v>
      </c>
      <c r="D44" s="7">
        <f>0.036+0.04</f>
        <v>7.5999999999999998E-2</v>
      </c>
      <c r="E44" s="7">
        <f>3527+3917.8</f>
        <v>7444.8</v>
      </c>
      <c r="F44" s="4"/>
    </row>
    <row r="45" spans="1:6" s="1" customFormat="1" ht="47.25" x14ac:dyDescent="0.25">
      <c r="A45" s="7">
        <v>16</v>
      </c>
      <c r="B45" s="8" t="s">
        <v>89</v>
      </c>
      <c r="C45" s="8" t="s">
        <v>11</v>
      </c>
      <c r="D45" s="7">
        <f>0.16</f>
        <v>0.16</v>
      </c>
      <c r="E45" s="7">
        <f>20379</f>
        <v>20379</v>
      </c>
      <c r="F45" s="4"/>
    </row>
    <row r="46" spans="1:6" s="1" customFormat="1" ht="78.75" x14ac:dyDescent="0.25">
      <c r="A46" s="7">
        <v>17</v>
      </c>
      <c r="B46" s="8" t="s">
        <v>85</v>
      </c>
      <c r="C46" s="8" t="s">
        <v>86</v>
      </c>
      <c r="D46" s="7">
        <f>0.01+0.005</f>
        <v>1.4999999999999999E-2</v>
      </c>
      <c r="E46" s="7">
        <f>1363+591</f>
        <v>1954</v>
      </c>
      <c r="F46" s="4"/>
    </row>
    <row r="47" spans="1:6" s="1" customFormat="1" ht="47.25" x14ac:dyDescent="0.25">
      <c r="A47" s="7">
        <v>18</v>
      </c>
      <c r="B47" s="8" t="s">
        <v>74</v>
      </c>
      <c r="C47" s="8" t="s">
        <v>64</v>
      </c>
      <c r="D47" s="7">
        <v>2</v>
      </c>
      <c r="E47" s="7">
        <v>5244</v>
      </c>
      <c r="F47" s="4"/>
    </row>
    <row r="48" spans="1:6" s="1" customFormat="1" ht="31.5" x14ac:dyDescent="0.25">
      <c r="A48" s="7">
        <v>19</v>
      </c>
      <c r="B48" s="8" t="s">
        <v>75</v>
      </c>
      <c r="C48" s="8" t="s">
        <v>33</v>
      </c>
      <c r="D48" s="7">
        <v>2</v>
      </c>
      <c r="E48" s="7">
        <v>42387.8</v>
      </c>
      <c r="F48" s="4"/>
    </row>
    <row r="49" spans="1:6" s="1" customFormat="1" ht="31.5" x14ac:dyDescent="0.25">
      <c r="A49" s="7">
        <v>20</v>
      </c>
      <c r="B49" s="8" t="s">
        <v>52</v>
      </c>
      <c r="C49" s="8" t="s">
        <v>50</v>
      </c>
      <c r="D49" s="7">
        <f>0.01+0.01</f>
        <v>0.02</v>
      </c>
      <c r="E49" s="7">
        <f>863.4+889.2</f>
        <v>1752.6</v>
      </c>
      <c r="F49" s="4"/>
    </row>
    <row r="50" spans="1:6" s="1" customFormat="1" ht="31.5" x14ac:dyDescent="0.25">
      <c r="A50" s="7">
        <v>21</v>
      </c>
      <c r="B50" s="8" t="s">
        <v>84</v>
      </c>
      <c r="C50" s="8" t="s">
        <v>33</v>
      </c>
      <c r="D50" s="7">
        <f>1</f>
        <v>1</v>
      </c>
      <c r="E50" s="7">
        <f>16653.2</f>
        <v>16653.2</v>
      </c>
      <c r="F50" s="4"/>
    </row>
    <row r="51" spans="1:6" s="1" customFormat="1" ht="31.5" x14ac:dyDescent="0.25">
      <c r="A51" s="7">
        <v>22</v>
      </c>
      <c r="B51" s="8" t="s">
        <v>45</v>
      </c>
      <c r="C51" s="8" t="s">
        <v>33</v>
      </c>
      <c r="D51" s="7">
        <f>1</f>
        <v>1</v>
      </c>
      <c r="E51" s="7">
        <f>5634.4</f>
        <v>5634.4</v>
      </c>
      <c r="F51" s="4"/>
    </row>
    <row r="52" spans="1:6" s="1" customFormat="1" ht="47.25" x14ac:dyDescent="0.25">
      <c r="A52" s="7">
        <v>23</v>
      </c>
      <c r="B52" s="8" t="s">
        <v>53</v>
      </c>
      <c r="C52" s="8" t="s">
        <v>39</v>
      </c>
      <c r="D52" s="7">
        <f>2+1</f>
        <v>3</v>
      </c>
      <c r="E52" s="7">
        <f>12191.4+6097.2</f>
        <v>18288.599999999999</v>
      </c>
      <c r="F52" s="4"/>
    </row>
    <row r="53" spans="1:6" s="1" customFormat="1" ht="47.25" x14ac:dyDescent="0.25">
      <c r="A53" s="7">
        <v>24</v>
      </c>
      <c r="B53" s="8" t="s">
        <v>42</v>
      </c>
      <c r="C53" s="8" t="s">
        <v>39</v>
      </c>
      <c r="D53" s="7">
        <f>4+3+1</f>
        <v>8</v>
      </c>
      <c r="E53" s="7">
        <f>20992+17204+6110</f>
        <v>44306</v>
      </c>
      <c r="F53" s="4"/>
    </row>
    <row r="54" spans="1:6" s="1" customFormat="1" ht="47.25" x14ac:dyDescent="0.25">
      <c r="A54" s="7">
        <v>25</v>
      </c>
      <c r="B54" s="8" t="s">
        <v>41</v>
      </c>
      <c r="C54" s="8" t="s">
        <v>39</v>
      </c>
      <c r="D54" s="7">
        <f>1+1+1+1+1+1+2</f>
        <v>8</v>
      </c>
      <c r="E54" s="7">
        <f>5247.6+5247.6+5247.6+5712+6086+6086+12171.2</f>
        <v>45798</v>
      </c>
      <c r="F54" s="4"/>
    </row>
    <row r="55" spans="1:6" s="1" customFormat="1" ht="78.75" x14ac:dyDescent="0.25">
      <c r="A55" s="7">
        <v>26</v>
      </c>
      <c r="B55" s="8" t="s">
        <v>91</v>
      </c>
      <c r="C55" s="8" t="s">
        <v>92</v>
      </c>
      <c r="D55" s="7">
        <f>0.08</f>
        <v>0.08</v>
      </c>
      <c r="E55" s="7">
        <f>14440.8</f>
        <v>14440.8</v>
      </c>
      <c r="F55" s="4"/>
    </row>
    <row r="56" spans="1:6" s="1" customFormat="1" ht="78.75" x14ac:dyDescent="0.25">
      <c r="A56" s="7">
        <v>27</v>
      </c>
      <c r="B56" s="8" t="s">
        <v>93</v>
      </c>
      <c r="C56" s="8" t="s">
        <v>13</v>
      </c>
      <c r="D56" s="7">
        <f>0.76</f>
        <v>0.76</v>
      </c>
      <c r="E56" s="7">
        <f>23600</f>
        <v>23600</v>
      </c>
      <c r="F56" s="4"/>
    </row>
    <row r="57" spans="1:6" s="1" customFormat="1" ht="15.75" x14ac:dyDescent="0.25">
      <c r="A57" s="7">
        <v>28</v>
      </c>
      <c r="B57" s="8" t="s">
        <v>98</v>
      </c>
      <c r="C57" s="8" t="s">
        <v>70</v>
      </c>
      <c r="D57" s="7">
        <f>0.02</f>
        <v>0.02</v>
      </c>
      <c r="E57" s="7">
        <f>515.4</f>
        <v>515.4</v>
      </c>
      <c r="F57" s="4"/>
    </row>
    <row r="58" spans="1:6" s="1" customFormat="1" ht="15.75" x14ac:dyDescent="0.25">
      <c r="A58" s="7">
        <v>29</v>
      </c>
      <c r="B58" s="8" t="s">
        <v>71</v>
      </c>
      <c r="C58" s="8" t="s">
        <v>34</v>
      </c>
      <c r="D58" s="7">
        <v>0.5</v>
      </c>
      <c r="E58" s="7">
        <v>17060.8</v>
      </c>
      <c r="F58" s="4"/>
    </row>
    <row r="59" spans="1:6" s="1" customFormat="1" ht="47.25" x14ac:dyDescent="0.25">
      <c r="A59" s="7">
        <v>30</v>
      </c>
      <c r="B59" s="8" t="s">
        <v>76</v>
      </c>
      <c r="C59" s="8" t="s">
        <v>33</v>
      </c>
      <c r="D59" s="7">
        <v>1</v>
      </c>
      <c r="E59" s="7">
        <v>2050.1999999999998</v>
      </c>
      <c r="F59" s="4"/>
    </row>
    <row r="60" spans="1:6" s="1" customFormat="1" ht="15.75" x14ac:dyDescent="0.25">
      <c r="A60" s="7">
        <v>31</v>
      </c>
      <c r="B60" s="8" t="s">
        <v>72</v>
      </c>
      <c r="C60" s="8" t="s">
        <v>73</v>
      </c>
      <c r="D60" s="7">
        <f>1+2</f>
        <v>3</v>
      </c>
      <c r="E60" s="7">
        <f>2471+5022.2</f>
        <v>7493.2</v>
      </c>
      <c r="F60" s="4"/>
    </row>
    <row r="61" spans="1:6" s="1" customFormat="1" ht="31.5" x14ac:dyDescent="0.25">
      <c r="A61" s="7">
        <v>32</v>
      </c>
      <c r="B61" s="8" t="s">
        <v>62</v>
      </c>
      <c r="C61" s="8" t="s">
        <v>63</v>
      </c>
      <c r="D61" s="7">
        <f>0.01</f>
        <v>0.01</v>
      </c>
      <c r="E61" s="15">
        <f>189</f>
        <v>189</v>
      </c>
      <c r="F61" s="4"/>
    </row>
    <row r="62" spans="1:6" s="1" customFormat="1" ht="15.75" x14ac:dyDescent="0.25">
      <c r="A62" s="7">
        <v>33</v>
      </c>
      <c r="B62" s="8" t="s">
        <v>95</v>
      </c>
      <c r="C62" s="8" t="s">
        <v>29</v>
      </c>
      <c r="D62" s="7">
        <f>1</f>
        <v>1</v>
      </c>
      <c r="E62" s="15">
        <f>862.8</f>
        <v>862.8</v>
      </c>
      <c r="F62" s="4"/>
    </row>
    <row r="63" spans="1:6" s="1" customFormat="1" ht="15.75" x14ac:dyDescent="0.25">
      <c r="A63" s="7">
        <v>34</v>
      </c>
      <c r="B63" s="8" t="s">
        <v>58</v>
      </c>
      <c r="C63" s="8" t="s">
        <v>29</v>
      </c>
      <c r="D63" s="7">
        <f>2</f>
        <v>2</v>
      </c>
      <c r="E63" s="15">
        <f>21934</f>
        <v>21934</v>
      </c>
      <c r="F63" s="4"/>
    </row>
    <row r="64" spans="1:6" s="1" customFormat="1" ht="31.5" x14ac:dyDescent="0.25">
      <c r="A64" s="7">
        <v>35</v>
      </c>
      <c r="B64" s="8" t="s">
        <v>96</v>
      </c>
      <c r="C64" s="8" t="s">
        <v>99</v>
      </c>
      <c r="D64" s="7">
        <v>2</v>
      </c>
      <c r="E64" s="15">
        <f>800+800</f>
        <v>1600</v>
      </c>
      <c r="F64" s="4"/>
    </row>
    <row r="65" spans="1:10" s="1" customFormat="1" ht="31.5" x14ac:dyDescent="0.25">
      <c r="A65" s="7">
        <v>36</v>
      </c>
      <c r="B65" s="8" t="s">
        <v>65</v>
      </c>
      <c r="C65" s="8" t="s">
        <v>66</v>
      </c>
      <c r="D65" s="7">
        <f>130+20</f>
        <v>150</v>
      </c>
      <c r="E65" s="15">
        <f>84500+13000</f>
        <v>97500</v>
      </c>
      <c r="F65" s="4"/>
    </row>
    <row r="66" spans="1:10" s="1" customFormat="1" ht="31.5" x14ac:dyDescent="0.25">
      <c r="A66" s="7">
        <v>37</v>
      </c>
      <c r="B66" s="8" t="s">
        <v>56</v>
      </c>
      <c r="C66" s="8" t="s">
        <v>57</v>
      </c>
      <c r="D66" s="7">
        <f>1705+110+66+26+184+131</f>
        <v>2222</v>
      </c>
      <c r="E66" s="7">
        <f>56828+3666+3300+1083+9200+5459</f>
        <v>79536</v>
      </c>
      <c r="F66" s="4"/>
    </row>
    <row r="67" spans="1:10" s="1" customFormat="1" ht="15.75" x14ac:dyDescent="0.25">
      <c r="A67" s="7"/>
      <c r="B67" s="8"/>
      <c r="C67" s="8"/>
      <c r="D67" s="7"/>
      <c r="E67" s="9">
        <f>SUM(E30:E66)</f>
        <v>747022.4</v>
      </c>
      <c r="F67" s="4"/>
    </row>
    <row r="68" spans="1:10" ht="15.75" x14ac:dyDescent="0.25">
      <c r="A68" s="7"/>
      <c r="B68" s="8" t="s">
        <v>8</v>
      </c>
      <c r="C68" s="7"/>
      <c r="D68" s="7"/>
      <c r="E68" s="9">
        <f>E28+E67</f>
        <v>1152501.2</v>
      </c>
      <c r="F68" s="4"/>
    </row>
    <row r="69" spans="1:10" ht="15.75" x14ac:dyDescent="0.25">
      <c r="A69" s="7"/>
      <c r="B69" s="8"/>
      <c r="C69" s="7"/>
      <c r="D69" s="7"/>
      <c r="E69" s="7"/>
      <c r="F69" s="4"/>
    </row>
    <row r="70" spans="1:10" ht="15.75" x14ac:dyDescent="0.25">
      <c r="A70" s="10"/>
      <c r="B70" s="10"/>
      <c r="C70" s="10"/>
      <c r="D70" s="10"/>
      <c r="E70" s="10"/>
      <c r="F70" s="4"/>
      <c r="J70" t="s">
        <v>35</v>
      </c>
    </row>
    <row r="71" spans="1:10" ht="15.75" x14ac:dyDescent="0.25">
      <c r="A71" s="10"/>
      <c r="B71" s="10" t="s">
        <v>17</v>
      </c>
      <c r="C71" s="10" t="s">
        <v>37</v>
      </c>
      <c r="D71" s="10"/>
      <c r="E71" s="10"/>
      <c r="F71" s="1"/>
    </row>
    <row r="72" spans="1:10" x14ac:dyDescent="0.25">
      <c r="A72" s="2"/>
      <c r="B72" s="2"/>
      <c r="C72" s="2"/>
      <c r="D72" s="2"/>
      <c r="E72" s="2"/>
      <c r="F72" s="1"/>
    </row>
    <row r="73" spans="1:10" x14ac:dyDescent="0.25">
      <c r="A73" s="2"/>
      <c r="B73" s="2"/>
      <c r="C73" s="2"/>
      <c r="D73" s="2"/>
      <c r="E73" s="2"/>
      <c r="F73" s="1"/>
    </row>
    <row r="74" spans="1:10" x14ac:dyDescent="0.25">
      <c r="A74" s="2"/>
      <c r="B74" s="2" t="s">
        <v>18</v>
      </c>
      <c r="C74" s="2"/>
      <c r="D74" s="14"/>
      <c r="E74" s="2"/>
      <c r="F74" s="13"/>
      <c r="G74" s="13"/>
    </row>
    <row r="75" spans="1:10" x14ac:dyDescent="0.25">
      <c r="A75" s="2"/>
      <c r="B75" s="2"/>
      <c r="C75" s="2"/>
      <c r="D75" s="2"/>
      <c r="E75" s="2"/>
      <c r="F75" s="13"/>
      <c r="G75" s="13"/>
    </row>
    <row r="76" spans="1:10" x14ac:dyDescent="0.25">
      <c r="A76" s="2"/>
      <c r="B76" s="2"/>
      <c r="C76" s="14">
        <f>30440.4+17823.4+21676.4+18117+16656.8+169960.2+16319.8+24010.6+17296.4+18768.2+28124.6+26285</f>
        <v>405478.8</v>
      </c>
      <c r="D76" s="14"/>
      <c r="E76" s="2"/>
      <c r="F76" s="13">
        <f>C76-E28</f>
        <v>0</v>
      </c>
      <c r="G76" s="13"/>
    </row>
    <row r="77" spans="1:10" x14ac:dyDescent="0.25">
      <c r="A77" s="2"/>
      <c r="B77" s="2"/>
      <c r="C77" s="14">
        <f>148493.4+63498+81520.6+14161.2+5022.2+986.8+27184.2+65380.6+65266.4+132492+56923+86094</f>
        <v>747022.4</v>
      </c>
      <c r="D77" s="14"/>
      <c r="E77" s="14"/>
      <c r="F77" s="13"/>
      <c r="G77" s="13"/>
    </row>
    <row r="78" spans="1:10" x14ac:dyDescent="0.25">
      <c r="A78" s="2"/>
      <c r="B78" s="2"/>
      <c r="C78" s="14">
        <f>C76+C77</f>
        <v>1152501.2</v>
      </c>
      <c r="D78" s="14"/>
      <c r="E78" s="14"/>
      <c r="F78" s="13"/>
      <c r="G78" s="13"/>
    </row>
    <row r="79" spans="1:10" x14ac:dyDescent="0.25">
      <c r="A79" s="2"/>
      <c r="B79" s="2"/>
      <c r="C79" s="14">
        <f>178933.8+81321.4+103197+32278.2+21679+170947+43504+89391.2+82562.8+151260.2+85047.6+112379</f>
        <v>1152501.1999999997</v>
      </c>
      <c r="D79" s="2"/>
      <c r="E79" s="14"/>
    </row>
    <row r="80" spans="1:10" x14ac:dyDescent="0.25">
      <c r="A80" s="2"/>
      <c r="B80" s="2"/>
      <c r="C80" s="2"/>
      <c r="D80" s="14"/>
      <c r="E80" s="14"/>
    </row>
    <row r="81" spans="1:5" x14ac:dyDescent="0.25">
      <c r="A81" s="2"/>
      <c r="B81" s="2"/>
      <c r="C81" s="2"/>
      <c r="D81" s="14"/>
      <c r="E81" s="14"/>
    </row>
    <row r="1124" spans="7:7" x14ac:dyDescent="0.25">
      <c r="G1124" t="s">
        <v>36</v>
      </c>
    </row>
    <row r="1126" spans="7:7" x14ac:dyDescent="0.25">
      <c r="G1126" t="s">
        <v>32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2023-01-24T11:55:07Z</cp:lastPrinted>
  <dcterms:created xsi:type="dcterms:W3CDTF">2016-09-29T06:37:31Z</dcterms:created>
  <dcterms:modified xsi:type="dcterms:W3CDTF">2023-01-24T11:55:58Z</dcterms:modified>
</cp:coreProperties>
</file>