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1" i="1" l="1"/>
  <c r="D41" i="1"/>
  <c r="E40" i="1"/>
  <c r="E42" i="1"/>
  <c r="D42" i="1"/>
  <c r="E30" i="1"/>
  <c r="D30" i="1"/>
  <c r="E28" i="1"/>
  <c r="D28" i="1"/>
  <c r="E21" i="1"/>
  <c r="D21" i="1"/>
  <c r="E16" i="1"/>
  <c r="D16" i="1"/>
  <c r="E12" i="1"/>
  <c r="E14" i="1"/>
  <c r="D14" i="1"/>
  <c r="E13" i="1"/>
  <c r="D55" i="1"/>
  <c r="D53" i="1"/>
  <c r="D52" i="1"/>
  <c r="D22" i="1" l="1"/>
  <c r="E10" i="1"/>
  <c r="D10" i="1"/>
  <c r="E15" i="1"/>
  <c r="D15" i="1"/>
  <c r="E17" i="1" l="1"/>
  <c r="D17" i="1"/>
  <c r="E11" i="1" l="1"/>
  <c r="D11" i="1"/>
  <c r="E38" i="1" l="1"/>
  <c r="E27" i="1" l="1"/>
  <c r="D27" i="1"/>
  <c r="E26" i="1"/>
  <c r="E25" i="1"/>
  <c r="D25" i="1"/>
  <c r="E37" i="1" l="1"/>
  <c r="D37" i="1"/>
  <c r="E29" i="1"/>
  <c r="D29" i="1"/>
  <c r="E35" i="1"/>
  <c r="D35" i="1"/>
  <c r="E34" i="1"/>
  <c r="D34" i="1"/>
  <c r="E33" i="1"/>
  <c r="D33" i="1"/>
  <c r="E32" i="1"/>
  <c r="D32" i="1"/>
  <c r="E31" i="1"/>
  <c r="E39" i="1"/>
  <c r="E18" i="1"/>
  <c r="D18" i="1"/>
  <c r="E24" i="1"/>
  <c r="D24" i="1"/>
  <c r="E23" i="1"/>
  <c r="D23" i="1"/>
  <c r="D12" i="1"/>
  <c r="D13" i="1"/>
  <c r="E43" i="1" l="1"/>
  <c r="F42" i="1"/>
  <c r="F41" i="1"/>
  <c r="F39" i="1"/>
  <c r="F38" i="1"/>
  <c r="F37" i="1"/>
  <c r="F36" i="1"/>
  <c r="F35" i="1"/>
  <c r="F32" i="1"/>
  <c r="F31" i="1"/>
  <c r="F30" i="1"/>
  <c r="F29" i="1"/>
  <c r="F28" i="1"/>
  <c r="F27" i="1"/>
  <c r="F26" i="1"/>
  <c r="F25" i="1"/>
  <c r="F22" i="1"/>
  <c r="F21" i="1"/>
  <c r="E19" i="1" l="1"/>
  <c r="D54" i="1" l="1"/>
  <c r="E44" i="1" l="1"/>
</calcChain>
</file>

<file path=xl/sharedStrings.xml><?xml version="1.0" encoding="utf-8"?>
<sst xmlns="http://schemas.openxmlformats.org/spreadsheetml/2006/main" count="86" uniqueCount="76">
  <si>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</si>
  <si>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</si>
  <si>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</si>
  <si>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</si>
  <si>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</si>
  <si>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</si>
  <si>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</si>
  <si>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</si>
  <si>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</si>
  <si>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</si>
  <si>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</si>
  <si>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</si>
  <si>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</si>
  <si>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</si>
  <si>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</si>
  <si>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</si>
  <si>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</si>
  <si>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</si>
  <si>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</si>
  <si>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</si>
  <si>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</si>
  <si>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шт</t>
  </si>
  <si>
    <t>100м3 воды</t>
  </si>
  <si>
    <t>Смена дверных приборов замки навесные</t>
  </si>
  <si>
    <t>100шт приб.</t>
  </si>
  <si>
    <t>Смена трубопроводов из полиэтиленовых канализационных труб диам.100мм</t>
  </si>
  <si>
    <t>100м трубопровода с фасонными частями</t>
  </si>
  <si>
    <t>,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</si>
  <si>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</si>
  <si>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</si>
  <si>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</si>
  <si>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</si>
  <si>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</si>
  <si>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</si>
  <si>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</si>
  <si>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</si>
  <si>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Водоотлив  из подвала электрическими насосами</t>
  </si>
  <si>
    <t>м.п.</t>
  </si>
  <si>
    <t xml:space="preserve">                                        по улице Талсинская </t>
  </si>
  <si>
    <t>Смена выключателей</t>
  </si>
  <si>
    <t>Механизированная уборка снега на придомовой территории</t>
  </si>
  <si>
    <t>мин</t>
  </si>
  <si>
    <t>Услуги трактора,экскаватора-погрузчика, погрузка и вывоз снега со складированием</t>
  </si>
  <si>
    <t>м3</t>
  </si>
  <si>
    <t>100м2 отремонтированной поверхности</t>
  </si>
  <si>
    <t>100м2 покрытия</t>
  </si>
  <si>
    <t>Смена дверных приборов:петли</t>
  </si>
  <si>
    <t>Установка почтовых ящиков 6-ти секционных</t>
  </si>
  <si>
    <t>Смена существующих рулонных кровель на покрытия из наплавляемых рулонных материалов в один слой</t>
  </si>
  <si>
    <t>Смена дверных приборов петли</t>
  </si>
  <si>
    <t>Смена дверных приборов пружины</t>
  </si>
  <si>
    <t>имущества МКД, выполненных за 2022  года на жилом доме № 4</t>
  </si>
  <si>
    <t>Разборка покрытий полов из керамических плиток</t>
  </si>
  <si>
    <t>Устройство покрытий из керамогранитных плиток размером 30х30</t>
  </si>
  <si>
    <t>100м2</t>
  </si>
  <si>
    <t>Откидной пандус из оцинкованной стали для детских колясок под№5</t>
  </si>
  <si>
    <t>Заделка подвальных окон железом</t>
  </si>
  <si>
    <t>10м2</t>
  </si>
  <si>
    <t>Герметизация наружных стыков шириной до 80мм герметиком вручную с земли и лесов</t>
  </si>
  <si>
    <t>Демонтаж отдельных участков металлического ограждения газонов из труб диаметром до 25мм</t>
  </si>
  <si>
    <t>1м сменяемого ограждения</t>
  </si>
  <si>
    <t>Смена обделок из листовой стали(брандмауэров и парапетов без обделки боковых стенок) шириной до 1м</t>
  </si>
  <si>
    <t>Формовочная обрезка деревьев высотой более 5м</t>
  </si>
  <si>
    <t>1 дерево</t>
  </si>
  <si>
    <t>Ремонт межпанельных швов без вскрытия кв.30,32,63,207</t>
  </si>
  <si>
    <t>Ремонт межпанельных швов со вскрытием, заменой утеплителя кв №№30,32,63,207</t>
  </si>
  <si>
    <t>Заделка отверстий,гнед,борозд в мусорокамере</t>
  </si>
  <si>
    <t>1м2 заделки</t>
  </si>
  <si>
    <t>Ремонт лицевой поверхности наружных кипричных стен при глубине заделки в 1//2 кирпича</t>
  </si>
  <si>
    <t>Ремонт крылец</t>
  </si>
  <si>
    <t xml:space="preserve">Установка насосов </t>
  </si>
  <si>
    <t>1шт</t>
  </si>
  <si>
    <t>Механизированная обработка придомовой территории ПСС</t>
  </si>
  <si>
    <t>Ремонт и восстановление уплотнения стыков прокладками ПРП в 1 ряд в дверных проемах насухо</t>
  </si>
  <si>
    <t>100м восстановленной герметизации</t>
  </si>
  <si>
    <t>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</si>
</sst>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  <xf numFmtId="2" fontId="2" fillId="0" borderId="1" xfId="0" applyNumberFormat="1" applyFont="1" applyBorder="1"/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1"/>
  <sheetViews>
    <sheetView tabSelected="1" zoomScale="130" zoomScaleNormal="130" workbookViewId="0">
      <selection activeCell="E50" sqref="A1:E50"/>
    </sheetView>
  </sheetViews>
  <sheetFormatPr defaultRowHeight="15" x14ac:dyDescent="0.25"/>
  <cols>
    <col min="1" max="1" width="5.140625" customWidth="1"/>
    <col min="2" max="2" width="45.42578125" customWidth="1"/>
    <col min="3" max="3" width="10.140625" customWidth="1"/>
    <col min="4" max="4" width="11.28515625" customWidth="1"/>
    <col min="5" max="5" width="16.7109375" customWidth="1"/>
    <col min="6" max="6" width="11.85546875" bestFit="1" customWidth="1"/>
    <col min="7" max="7" width="11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14</v>
      </c>
      <c r="C3" s="3"/>
      <c r="D3" s="3"/>
      <c r="E3" s="3"/>
      <c r="F3" s="1"/>
    </row>
    <row r="4" spans="1:6" ht="15.75" x14ac:dyDescent="0.25">
      <c r="A4" s="4"/>
      <c r="B4" s="3" t="s">
        <v>51</v>
      </c>
      <c r="C4" s="3"/>
      <c r="D4" s="3"/>
      <c r="E4" s="3"/>
      <c r="F4" s="1"/>
    </row>
    <row r="5" spans="1:6" ht="15.75" x14ac:dyDescent="0.25">
      <c r="A5" s="4"/>
      <c r="B5" s="3" t="s">
        <v>38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35</v>
      </c>
      <c r="C10" s="8" t="s">
        <v>11</v>
      </c>
      <c r="D10" s="7">
        <f>0.01+0.03+0.02+0.01+0.01+0.04+0.01+0.06</f>
        <v>0.19</v>
      </c>
      <c r="E10" s="7">
        <f>181.8+474.2+316.2+161.8+161.8+648+166.8+994</f>
        <v>3104.6</v>
      </c>
      <c r="F10" s="4"/>
    </row>
    <row r="11" spans="1:6" s="1" customFormat="1" ht="15.75" x14ac:dyDescent="0.25">
      <c r="A11" s="7">
        <v>2</v>
      </c>
      <c r="B11" s="8" t="s">
        <v>39</v>
      </c>
      <c r="C11" s="8" t="s">
        <v>11</v>
      </c>
      <c r="D11" s="7">
        <f>0.02</f>
        <v>0.02</v>
      </c>
      <c r="E11" s="7">
        <f>556.6</f>
        <v>556.6</v>
      </c>
      <c r="F11" s="4"/>
    </row>
    <row r="12" spans="1:6" s="1" customFormat="1" ht="63" x14ac:dyDescent="0.25">
      <c r="A12" s="7">
        <v>3</v>
      </c>
      <c r="B12" s="8" t="s">
        <v>19</v>
      </c>
      <c r="C12" s="8" t="s">
        <v>20</v>
      </c>
      <c r="D12" s="7">
        <f>0.54</f>
        <v>0.54</v>
      </c>
      <c r="E12" s="7">
        <f>1748.8+1748.8+1782.4+1782.4+1782.4+1782.4+1918.6+1918.6+1918.6+2052.2+2052.2+2052.2</f>
        <v>22539.600000000002</v>
      </c>
      <c r="F12" s="4"/>
    </row>
    <row r="13" spans="1:6" s="1" customFormat="1" ht="78.75" x14ac:dyDescent="0.25">
      <c r="A13" s="7">
        <v>4</v>
      </c>
      <c r="B13" s="8" t="s">
        <v>15</v>
      </c>
      <c r="C13" s="8" t="s">
        <v>16</v>
      </c>
      <c r="D13" s="7">
        <f>1.8</f>
        <v>1.8</v>
      </c>
      <c r="E13" s="14">
        <f>6226.8+6226.8+6348+6348+6348+6348+6828.8+6828.8+6828.8+7307.6+7307.6+7307.6</f>
        <v>80254.800000000017</v>
      </c>
      <c r="F13" s="16"/>
    </row>
    <row r="14" spans="1:6" s="1" customFormat="1" ht="31.5" x14ac:dyDescent="0.25">
      <c r="A14" s="7">
        <v>5</v>
      </c>
      <c r="B14" s="8" t="s">
        <v>17</v>
      </c>
      <c r="C14" s="8" t="s">
        <v>18</v>
      </c>
      <c r="D14" s="7">
        <f>0.12+0.03+0.06+0.32+0.15+0.04+0.12+0.08+0.05+0.08+0.15+0.1</f>
        <v>1.3</v>
      </c>
      <c r="E14" s="7">
        <f>6226.8+1555.4+3173+16929.2+7936.2+2116.2+6828.8+4552+2845.2+4872.8+9135+6088.6</f>
        <v>72259.200000000012</v>
      </c>
      <c r="F14" s="4"/>
    </row>
    <row r="15" spans="1:6" s="1" customFormat="1" ht="31.5" x14ac:dyDescent="0.25">
      <c r="A15" s="7">
        <v>6</v>
      </c>
      <c r="B15" s="8" t="s">
        <v>36</v>
      </c>
      <c r="C15" s="8" t="s">
        <v>22</v>
      </c>
      <c r="D15" s="7">
        <f>0.5+0.2+0.82+2</f>
        <v>3.52</v>
      </c>
      <c r="E15" s="7">
        <f>2460+984.4+4035.8+11316</f>
        <v>18796.2</v>
      </c>
      <c r="F15" s="4"/>
    </row>
    <row r="16" spans="1:6" s="1" customFormat="1" ht="31.5" x14ac:dyDescent="0.25">
      <c r="A16" s="7">
        <v>7</v>
      </c>
      <c r="B16" s="8" t="s">
        <v>50</v>
      </c>
      <c r="C16" s="8" t="s">
        <v>24</v>
      </c>
      <c r="D16" s="7">
        <f>0.03+0.02</f>
        <v>0.05</v>
      </c>
      <c r="E16" s="7">
        <f>1347.8+1055</f>
        <v>2402.8000000000002</v>
      </c>
      <c r="F16" s="4"/>
    </row>
    <row r="17" spans="1:6" s="1" customFormat="1" ht="31.5" x14ac:dyDescent="0.25">
      <c r="A17" s="7">
        <v>8</v>
      </c>
      <c r="B17" s="8" t="s">
        <v>49</v>
      </c>
      <c r="C17" s="8" t="s">
        <v>24</v>
      </c>
      <c r="D17" s="7">
        <f>0.04+0.01+0.01</f>
        <v>6.0000000000000005E-2</v>
      </c>
      <c r="E17" s="7">
        <f>3078+813.6+908.6</f>
        <v>4800.2</v>
      </c>
      <c r="F17" s="4"/>
    </row>
    <row r="18" spans="1:6" s="1" customFormat="1" ht="31.5" x14ac:dyDescent="0.25">
      <c r="A18" s="7">
        <v>9</v>
      </c>
      <c r="B18" s="8" t="s">
        <v>23</v>
      </c>
      <c r="C18" s="8" t="s">
        <v>24</v>
      </c>
      <c r="D18" s="7">
        <f>0.06</f>
        <v>0.06</v>
      </c>
      <c r="E18" s="7">
        <f>6239.4</f>
        <v>6239.4</v>
      </c>
      <c r="F18" s="4"/>
    </row>
    <row r="19" spans="1:6" ht="15.75" x14ac:dyDescent="0.25">
      <c r="A19" s="7"/>
      <c r="B19" s="8"/>
      <c r="C19" s="8"/>
      <c r="D19" s="7"/>
      <c r="E19" s="9">
        <f>SUM(E10:E18)</f>
        <v>210953.40000000005</v>
      </c>
      <c r="F19" s="20"/>
    </row>
    <row r="20" spans="1:6" ht="15.75" x14ac:dyDescent="0.25">
      <c r="A20" s="7"/>
      <c r="B20" s="12" t="s">
        <v>10</v>
      </c>
      <c r="C20" s="8"/>
      <c r="D20" s="7"/>
      <c r="E20" s="7"/>
      <c r="F20" s="4"/>
    </row>
    <row r="21" spans="1:6" s="1" customFormat="1" ht="15.75" x14ac:dyDescent="0.25">
      <c r="A21" s="7">
        <v>1</v>
      </c>
      <c r="B21" s="8" t="s">
        <v>70</v>
      </c>
      <c r="C21" s="8" t="s">
        <v>71</v>
      </c>
      <c r="D21" s="7">
        <f>1+1</f>
        <v>2</v>
      </c>
      <c r="E21" s="19">
        <f>21496.6+21496.4</f>
        <v>42993</v>
      </c>
      <c r="F21" s="4">
        <f>E21/2</f>
        <v>21496.5</v>
      </c>
    </row>
    <row r="22" spans="1:6" s="17" customFormat="1" ht="94.5" x14ac:dyDescent="0.25">
      <c r="A22" s="7">
        <v>2</v>
      </c>
      <c r="B22" s="15" t="s">
        <v>25</v>
      </c>
      <c r="C22" s="15" t="s">
        <v>26</v>
      </c>
      <c r="D22" s="14">
        <f>0.17</f>
        <v>0.17</v>
      </c>
      <c r="E22" s="14">
        <v>20194</v>
      </c>
      <c r="F22" s="16">
        <f>E22/4</f>
        <v>5048.5</v>
      </c>
    </row>
    <row r="23" spans="1:6" s="17" customFormat="1" ht="47.25" x14ac:dyDescent="0.25">
      <c r="A23" s="7">
        <v>3</v>
      </c>
      <c r="B23" s="15" t="s">
        <v>52</v>
      </c>
      <c r="C23" s="15" t="s">
        <v>45</v>
      </c>
      <c r="D23" s="14">
        <f>0.095</f>
        <v>9.5000000000000001E-2</v>
      </c>
      <c r="E23" s="14">
        <f>4904.8</f>
        <v>4904.8</v>
      </c>
      <c r="F23" s="16"/>
    </row>
    <row r="24" spans="1:6" s="17" customFormat="1" ht="31.5" x14ac:dyDescent="0.25">
      <c r="A24" s="7">
        <v>4</v>
      </c>
      <c r="B24" s="15" t="s">
        <v>53</v>
      </c>
      <c r="C24" s="15" t="s">
        <v>54</v>
      </c>
      <c r="D24" s="14">
        <f>0.095</f>
        <v>9.5000000000000001E-2</v>
      </c>
      <c r="E24" s="14">
        <f>12698</f>
        <v>12698</v>
      </c>
      <c r="F24" s="16"/>
    </row>
    <row r="25" spans="1:6" s="17" customFormat="1" ht="31.5" x14ac:dyDescent="0.25">
      <c r="A25" s="7">
        <v>5</v>
      </c>
      <c r="B25" s="8" t="s">
        <v>46</v>
      </c>
      <c r="C25" s="8" t="s">
        <v>24</v>
      </c>
      <c r="D25" s="14">
        <f>0.01</f>
        <v>0.01</v>
      </c>
      <c r="E25" s="14">
        <f>857.4</f>
        <v>857.4</v>
      </c>
      <c r="F25" s="16">
        <f>E25/12</f>
        <v>71.45</v>
      </c>
    </row>
    <row r="26" spans="1:6" s="17" customFormat="1" ht="31.5" x14ac:dyDescent="0.25">
      <c r="A26" s="7">
        <v>6</v>
      </c>
      <c r="B26" s="8" t="s">
        <v>66</v>
      </c>
      <c r="C26" s="8" t="s">
        <v>67</v>
      </c>
      <c r="D26" s="14">
        <v>0.02</v>
      </c>
      <c r="E26" s="14">
        <f>1148.6</f>
        <v>1148.5999999999999</v>
      </c>
      <c r="F26" s="16">
        <f>E26/1</f>
        <v>1148.5999999999999</v>
      </c>
    </row>
    <row r="27" spans="1:6" s="17" customFormat="1" ht="94.5" x14ac:dyDescent="0.25">
      <c r="A27" s="7">
        <v>7</v>
      </c>
      <c r="B27" s="8" t="s">
        <v>68</v>
      </c>
      <c r="C27" s="8" t="s">
        <v>44</v>
      </c>
      <c r="D27" s="14">
        <f>0.002</f>
        <v>2E-3</v>
      </c>
      <c r="E27" s="14">
        <f>846</f>
        <v>846</v>
      </c>
      <c r="F27" s="16">
        <f>E27/1.6</f>
        <v>528.75</v>
      </c>
    </row>
    <row r="28" spans="1:6" s="17" customFormat="1" ht="31.5" x14ac:dyDescent="0.25">
      <c r="A28" s="7">
        <v>8</v>
      </c>
      <c r="B28" s="8" t="s">
        <v>47</v>
      </c>
      <c r="C28" s="8" t="s">
        <v>21</v>
      </c>
      <c r="D28" s="14">
        <f>1</f>
        <v>1</v>
      </c>
      <c r="E28" s="14">
        <f>1802.8</f>
        <v>1802.8</v>
      </c>
      <c r="F28" s="16">
        <f>E28/6</f>
        <v>300.46666666666664</v>
      </c>
    </row>
    <row r="29" spans="1:6" s="17" customFormat="1" ht="31.5" x14ac:dyDescent="0.25">
      <c r="A29" s="7">
        <v>9</v>
      </c>
      <c r="B29" s="15" t="s">
        <v>62</v>
      </c>
      <c r="C29" s="15" t="s">
        <v>63</v>
      </c>
      <c r="D29" s="14">
        <f>4</f>
        <v>4</v>
      </c>
      <c r="E29" s="14">
        <f>35267.4</f>
        <v>35267.4</v>
      </c>
      <c r="F29" s="16">
        <f>E29/8</f>
        <v>4408.4250000000002</v>
      </c>
    </row>
    <row r="30" spans="1:6" s="1" customFormat="1" ht="78.75" x14ac:dyDescent="0.25">
      <c r="A30" s="7">
        <v>10</v>
      </c>
      <c r="B30" s="8" t="s">
        <v>73</v>
      </c>
      <c r="C30" s="8" t="s">
        <v>74</v>
      </c>
      <c r="D30" s="7">
        <f>0.065</f>
        <v>6.5000000000000002E-2</v>
      </c>
      <c r="E30" s="19">
        <f>1524.6</f>
        <v>1524.6</v>
      </c>
      <c r="F30" s="4">
        <f>E30/10.4</f>
        <v>146.59615384615384</v>
      </c>
    </row>
    <row r="31" spans="1:6" s="1" customFormat="1" ht="15.75" x14ac:dyDescent="0.25">
      <c r="A31" s="7">
        <v>11</v>
      </c>
      <c r="B31" s="8" t="s">
        <v>56</v>
      </c>
      <c r="C31" s="8" t="s">
        <v>57</v>
      </c>
      <c r="D31" s="7">
        <v>0.5</v>
      </c>
      <c r="E31" s="7">
        <f>3125.8</f>
        <v>3125.8</v>
      </c>
      <c r="F31" s="4">
        <f>E31/3.5</f>
        <v>893.08571428571429</v>
      </c>
    </row>
    <row r="32" spans="1:6" s="1" customFormat="1" ht="47.25" x14ac:dyDescent="0.25">
      <c r="A32" s="7">
        <v>12</v>
      </c>
      <c r="B32" s="8" t="s">
        <v>58</v>
      </c>
      <c r="C32" s="8" t="s">
        <v>28</v>
      </c>
      <c r="D32" s="7">
        <f>0.05</f>
        <v>0.05</v>
      </c>
      <c r="E32" s="7">
        <f>2764.6</f>
        <v>2764.6</v>
      </c>
      <c r="F32" s="4">
        <f>E32/2</f>
        <v>1382.3</v>
      </c>
    </row>
    <row r="33" spans="1:10" s="1" customFormat="1" ht="78.75" x14ac:dyDescent="0.25">
      <c r="A33" s="7">
        <v>13</v>
      </c>
      <c r="B33" s="8" t="s">
        <v>59</v>
      </c>
      <c r="C33" s="8" t="s">
        <v>60</v>
      </c>
      <c r="D33" s="7">
        <f>35</f>
        <v>35</v>
      </c>
      <c r="E33" s="7">
        <f>6605.6</f>
        <v>6605.6</v>
      </c>
      <c r="F33" s="4"/>
    </row>
    <row r="34" spans="1:10" s="1" customFormat="1" ht="47.25" x14ac:dyDescent="0.25">
      <c r="A34" s="7">
        <v>14</v>
      </c>
      <c r="B34" s="8" t="s">
        <v>61</v>
      </c>
      <c r="C34" s="8" t="s">
        <v>54</v>
      </c>
      <c r="D34" s="7">
        <f>0.23</f>
        <v>0.23</v>
      </c>
      <c r="E34" s="7">
        <f>9477</f>
        <v>9477</v>
      </c>
      <c r="F34" s="4"/>
    </row>
    <row r="35" spans="1:10" s="1" customFormat="1" ht="47.25" x14ac:dyDescent="0.25">
      <c r="A35" s="7">
        <v>15</v>
      </c>
      <c r="B35" s="8" t="s">
        <v>48</v>
      </c>
      <c r="C35" s="8" t="s">
        <v>45</v>
      </c>
      <c r="D35" s="7">
        <f>0.23</f>
        <v>0.23</v>
      </c>
      <c r="E35" s="7">
        <f>16078.4</f>
        <v>16078.4</v>
      </c>
      <c r="F35" s="4">
        <f>E35/9.5</f>
        <v>1692.4631578947367</v>
      </c>
    </row>
    <row r="36" spans="1:10" s="1" customFormat="1" ht="31.5" x14ac:dyDescent="0.25">
      <c r="A36" s="7">
        <v>16</v>
      </c>
      <c r="B36" s="8" t="s">
        <v>65</v>
      </c>
      <c r="C36" s="8" t="s">
        <v>37</v>
      </c>
      <c r="D36" s="7">
        <v>66</v>
      </c>
      <c r="E36" s="7">
        <v>45540</v>
      </c>
      <c r="F36" s="4">
        <f>E36/246</f>
        <v>185.1219512195122</v>
      </c>
    </row>
    <row r="37" spans="1:10" s="1" customFormat="1" ht="31.5" x14ac:dyDescent="0.25">
      <c r="A37" s="7">
        <v>17</v>
      </c>
      <c r="B37" s="8" t="s">
        <v>64</v>
      </c>
      <c r="C37" s="8" t="s">
        <v>37</v>
      </c>
      <c r="D37" s="7">
        <f>47</f>
        <v>47</v>
      </c>
      <c r="E37" s="7">
        <f>20163</f>
        <v>20163</v>
      </c>
      <c r="F37" s="4">
        <f>E37/11</f>
        <v>1833</v>
      </c>
    </row>
    <row r="38" spans="1:10" s="1" customFormat="1" ht="15.75" x14ac:dyDescent="0.25">
      <c r="A38" s="7">
        <v>18</v>
      </c>
      <c r="B38" s="8" t="s">
        <v>69</v>
      </c>
      <c r="C38" s="8" t="s">
        <v>21</v>
      </c>
      <c r="D38" s="7">
        <v>5</v>
      </c>
      <c r="E38" s="7">
        <f>86204</f>
        <v>86204</v>
      </c>
      <c r="F38" s="4">
        <f>E38/36</f>
        <v>2394.5555555555557</v>
      </c>
    </row>
    <row r="39" spans="1:10" s="1" customFormat="1" ht="31.5" x14ac:dyDescent="0.25">
      <c r="A39" s="7">
        <v>19</v>
      </c>
      <c r="B39" s="8" t="s">
        <v>55</v>
      </c>
      <c r="C39" s="8" t="s">
        <v>21</v>
      </c>
      <c r="D39" s="7">
        <v>1</v>
      </c>
      <c r="E39" s="7">
        <f>11000</f>
        <v>11000</v>
      </c>
      <c r="F39" s="4">
        <f>E39/20</f>
        <v>550</v>
      </c>
    </row>
    <row r="40" spans="1:10" s="1" customFormat="1" ht="31.5" x14ac:dyDescent="0.25">
      <c r="A40" s="7">
        <v>20</v>
      </c>
      <c r="B40" s="8" t="s">
        <v>72</v>
      </c>
      <c r="C40" s="8" t="s">
        <v>75</v>
      </c>
      <c r="D40" s="7">
        <v>2</v>
      </c>
      <c r="E40" s="7">
        <f>800+800</f>
        <v>1600</v>
      </c>
      <c r="F40" s="4"/>
    </row>
    <row r="41" spans="1:10" s="1" customFormat="1" ht="31.5" x14ac:dyDescent="0.25">
      <c r="A41" s="7">
        <v>21</v>
      </c>
      <c r="B41" s="8" t="s">
        <v>42</v>
      </c>
      <c r="C41" s="8" t="s">
        <v>43</v>
      </c>
      <c r="D41" s="7">
        <f>20</f>
        <v>20</v>
      </c>
      <c r="E41" s="7">
        <f>13000</f>
        <v>13000</v>
      </c>
      <c r="F41" s="4">
        <f>E41/20</f>
        <v>650</v>
      </c>
    </row>
    <row r="42" spans="1:10" s="1" customFormat="1" ht="31.5" x14ac:dyDescent="0.25">
      <c r="A42" s="7">
        <v>22</v>
      </c>
      <c r="B42" s="8" t="s">
        <v>40</v>
      </c>
      <c r="C42" s="8" t="s">
        <v>41</v>
      </c>
      <c r="D42" s="7">
        <f>370+175+260+348</f>
        <v>1153</v>
      </c>
      <c r="E42" s="7">
        <f>12332+8750+13000+14501</f>
        <v>48583</v>
      </c>
      <c r="F42" s="4">
        <f>E42/870</f>
        <v>55.842528735632186</v>
      </c>
    </row>
    <row r="43" spans="1:10" s="1" customFormat="1" ht="15.75" x14ac:dyDescent="0.25">
      <c r="A43" s="7"/>
      <c r="B43" s="8"/>
      <c r="C43" s="8"/>
      <c r="D43" s="7"/>
      <c r="E43" s="9">
        <f>SUM(E21:E42)</f>
        <v>386378</v>
      </c>
      <c r="F43" s="4"/>
    </row>
    <row r="44" spans="1:10" ht="15.75" x14ac:dyDescent="0.25">
      <c r="A44" s="7"/>
      <c r="B44" s="8" t="s">
        <v>8</v>
      </c>
      <c r="C44" s="7"/>
      <c r="D44" s="7"/>
      <c r="E44" s="9">
        <f>E19+E43</f>
        <v>597331.4</v>
      </c>
      <c r="F44" s="4"/>
    </row>
    <row r="45" spans="1:10" ht="15.75" x14ac:dyDescent="0.25">
      <c r="A45" s="7"/>
      <c r="B45" s="8"/>
      <c r="C45" s="7"/>
      <c r="D45" s="7"/>
      <c r="E45" s="7"/>
      <c r="F45" s="4"/>
    </row>
    <row r="46" spans="1:10" ht="15.75" x14ac:dyDescent="0.25">
      <c r="A46" s="10"/>
      <c r="B46" s="10"/>
      <c r="C46" s="10"/>
      <c r="D46" s="10"/>
      <c r="E46" s="10"/>
      <c r="F46" s="4"/>
      <c r="J46" t="s">
        <v>29</v>
      </c>
    </row>
    <row r="47" spans="1:10" ht="15.75" x14ac:dyDescent="0.25">
      <c r="A47" s="10"/>
      <c r="B47" s="10" t="s">
        <v>12</v>
      </c>
      <c r="C47" s="10" t="s">
        <v>31</v>
      </c>
      <c r="D47" s="10"/>
      <c r="E47" s="10"/>
      <c r="F47" s="1"/>
    </row>
    <row r="48" spans="1:10" x14ac:dyDescent="0.25">
      <c r="A48" s="2"/>
      <c r="B48" s="2"/>
      <c r="C48" s="2"/>
      <c r="D48" s="2"/>
      <c r="E48" s="2"/>
      <c r="F48" s="1"/>
    </row>
    <row r="49" spans="1:7" x14ac:dyDescent="0.25">
      <c r="A49" s="2"/>
      <c r="B49" s="2"/>
      <c r="C49" s="2"/>
      <c r="D49" s="2"/>
      <c r="E49" s="2"/>
      <c r="F49" s="1"/>
    </row>
    <row r="50" spans="1:7" x14ac:dyDescent="0.25">
      <c r="A50" s="2"/>
      <c r="B50" s="2" t="s">
        <v>13</v>
      </c>
      <c r="C50" s="2"/>
      <c r="D50" s="18"/>
      <c r="E50" s="2"/>
      <c r="F50" s="13"/>
      <c r="G50" s="13"/>
    </row>
    <row r="51" spans="1:7" x14ac:dyDescent="0.25">
      <c r="A51" s="2"/>
      <c r="B51" s="2"/>
      <c r="C51" s="2"/>
      <c r="D51" s="2"/>
      <c r="E51" s="2"/>
      <c r="F51" s="13"/>
      <c r="G51" s="13"/>
    </row>
    <row r="52" spans="1:7" x14ac:dyDescent="0.25">
      <c r="A52" s="2"/>
      <c r="B52" s="2"/>
      <c r="C52" s="2" t="s">
        <v>32</v>
      </c>
      <c r="D52" s="18">
        <f>14202.4+20378+11777.6+27835.8+17864.6+14282.4+15738+13461.2+12797.2+15308+30804.8+16503.4</f>
        <v>210953.4</v>
      </c>
      <c r="E52" s="18"/>
      <c r="F52" s="13"/>
      <c r="G52" s="13"/>
    </row>
    <row r="53" spans="1:7" x14ac:dyDescent="0.25">
      <c r="A53" s="2"/>
      <c r="B53" s="2"/>
      <c r="C53" s="2" t="s">
        <v>33</v>
      </c>
      <c r="D53" s="2">
        <f>29934.8+0+0+16890.4+32161+100970.4+2852+86204+0+51240.6+66124.8</f>
        <v>386377.99999999994</v>
      </c>
      <c r="E53" s="2"/>
    </row>
    <row r="54" spans="1:7" x14ac:dyDescent="0.25">
      <c r="A54" s="2"/>
      <c r="B54" s="2"/>
      <c r="C54" s="2"/>
      <c r="D54" s="18">
        <f>D52+D53</f>
        <v>597331.39999999991</v>
      </c>
      <c r="E54" s="18"/>
      <c r="F54" t="s">
        <v>27</v>
      </c>
    </row>
    <row r="55" spans="1:7" x14ac:dyDescent="0.25">
      <c r="A55" s="2"/>
      <c r="B55" s="2"/>
      <c r="C55" s="2" t="s">
        <v>34</v>
      </c>
      <c r="D55" s="18">
        <f>44137.2+20378+11777.6+44726.2+50025.6+115252.8+18590+99665.2+12797.2+15308+82045.4+82628.2</f>
        <v>597331.4</v>
      </c>
      <c r="E55" s="2"/>
      <c r="F55" s="13"/>
    </row>
    <row r="56" spans="1:7" x14ac:dyDescent="0.25">
      <c r="A56" s="2"/>
      <c r="B56" s="2"/>
      <c r="C56" s="2"/>
      <c r="D56" s="2"/>
      <c r="E56" s="2"/>
    </row>
    <row r="57" spans="1:7" x14ac:dyDescent="0.25">
      <c r="A57" s="2"/>
      <c r="B57" s="2"/>
      <c r="C57" s="2"/>
      <c r="D57" s="2"/>
      <c r="E57" s="2"/>
    </row>
    <row r="58" spans="1:7" x14ac:dyDescent="0.25">
      <c r="A58" s="2"/>
      <c r="B58" s="2"/>
      <c r="C58" s="2"/>
      <c r="D58" s="2"/>
      <c r="E58" s="18"/>
    </row>
    <row r="59" spans="1:7" x14ac:dyDescent="0.25">
      <c r="A59" s="2"/>
      <c r="B59" s="2"/>
      <c r="C59" s="2"/>
      <c r="D59" s="2"/>
      <c r="E59" s="2"/>
    </row>
    <row r="60" spans="1:7" x14ac:dyDescent="0.25">
      <c r="A60" s="2"/>
      <c r="B60" s="2"/>
      <c r="C60" s="2"/>
      <c r="D60" s="2"/>
      <c r="E60" s="2"/>
    </row>
    <row r="61" spans="1:7" x14ac:dyDescent="0.25">
      <c r="A61" s="2"/>
      <c r="B61" s="2"/>
      <c r="C61" s="2"/>
      <c r="D61" s="2"/>
      <c r="E61" s="2"/>
    </row>
    <row r="62" spans="1:7" x14ac:dyDescent="0.25">
      <c r="A62" s="2"/>
      <c r="B62" s="2"/>
      <c r="C62" s="2"/>
      <c r="D62" s="2"/>
      <c r="E62" s="2"/>
    </row>
    <row r="63" spans="1:7" x14ac:dyDescent="0.25">
      <c r="A63" s="2"/>
      <c r="B63" s="2"/>
      <c r="C63" s="2"/>
      <c r="D63" s="2"/>
      <c r="E63" s="2"/>
    </row>
    <row r="1199" spans="7:7" x14ac:dyDescent="0.25">
      <c r="G1199" t="s">
        <v>30</v>
      </c>
    </row>
    <row r="1201" spans="7:7" x14ac:dyDescent="0.25">
      <c r="G1201" t="s">
        <v>27</v>
      </c>
    </row>
  </sheetData>
  <pageMargins left="0.78740157480314965" right="0.31496062992125984" top="0.15748031496062992" bottom="0.15748031496062992" header="0.31496062992125984" footer="0.31496062992125984"/>
  <pageSetup paperSize="9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2023-01-24T10:43:44Z</cp:lastPrinted>
  <dcterms:created xsi:type="dcterms:W3CDTF">2016-09-29T06:37:31Z</dcterms:created>
  <dcterms:modified xsi:type="dcterms:W3CDTF">2023-01-24T10:44:25Z</dcterms:modified>
</cp:coreProperties>
</file>