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9" i="1" l="1"/>
  <c r="E60" i="1"/>
  <c r="E22" i="1"/>
  <c r="E20" i="1"/>
  <c r="E21" i="1"/>
  <c r="E16" i="1"/>
  <c r="E14" i="1"/>
  <c r="E19" i="1"/>
  <c r="E47" i="1"/>
  <c r="E52" i="1"/>
  <c r="E15" i="1"/>
  <c r="E13" i="1"/>
  <c r="E10" i="1"/>
  <c r="E49" i="1"/>
  <c r="E38" i="1"/>
  <c r="E45" i="1"/>
  <c r="E44" i="1"/>
  <c r="E34" i="1"/>
  <c r="E27" i="1"/>
  <c r="E57" i="1"/>
  <c r="D57" i="1"/>
  <c r="E48" i="1"/>
  <c r="E35" i="1"/>
  <c r="E23" i="1"/>
  <c r="E37" i="1"/>
  <c r="E36" i="1"/>
  <c r="E12" i="1"/>
  <c r="E17" i="1"/>
  <c r="E56" i="1"/>
  <c r="E55" i="1"/>
  <c r="E43" i="1"/>
  <c r="E41" i="1"/>
  <c r="E39" i="1"/>
  <c r="E32" i="1"/>
  <c r="E29" i="1"/>
  <c r="E33" i="1"/>
  <c r="E18" i="1"/>
  <c r="E50" i="1"/>
  <c r="E30" i="1"/>
  <c r="E28" i="1"/>
  <c r="E24" i="1"/>
  <c r="E31" i="1"/>
  <c r="E54" i="1"/>
  <c r="E53" i="1"/>
  <c r="E51" i="1"/>
  <c r="D73" i="1"/>
  <c r="D70" i="1"/>
  <c r="D71" i="1"/>
  <c r="D59" i="1"/>
  <c r="D60" i="1"/>
  <c r="D22" i="1"/>
  <c r="D20" i="1"/>
  <c r="D21" i="1"/>
  <c r="D14" i="1"/>
  <c r="E61" i="1" l="1"/>
  <c r="D47" i="1"/>
  <c r="D48" i="1"/>
  <c r="D52" i="1"/>
  <c r="D15" i="1"/>
  <c r="D13" i="1"/>
  <c r="D10" i="1"/>
  <c r="D49" i="1" l="1"/>
  <c r="D38" i="1"/>
  <c r="D45" i="1" l="1"/>
  <c r="D44" i="1"/>
  <c r="D34" i="1"/>
  <c r="D27" i="1"/>
  <c r="D35" i="1" l="1"/>
  <c r="D23" i="1"/>
  <c r="D37" i="1" l="1"/>
  <c r="D36" i="1"/>
  <c r="D12" i="1" l="1"/>
  <c r="D17" i="1"/>
  <c r="D43" i="1"/>
  <c r="D42" i="1"/>
  <c r="D41" i="1"/>
  <c r="D39" i="1"/>
  <c r="D32" i="1"/>
  <c r="D30" i="1"/>
  <c r="D29" i="1"/>
  <c r="D33" i="1"/>
  <c r="D18" i="1"/>
  <c r="D50" i="1"/>
  <c r="D28" i="1"/>
  <c r="D24" i="1"/>
  <c r="D53" i="1" l="1"/>
  <c r="D51" i="1" l="1"/>
  <c r="D16" i="1"/>
  <c r="D19" i="1"/>
  <c r="F60" i="1" l="1"/>
  <c r="F59" i="1"/>
  <c r="F56" i="1"/>
  <c r="F55" i="1"/>
  <c r="F51" i="1"/>
  <c r="F49" i="1"/>
  <c r="F48" i="1"/>
  <c r="F47" i="1"/>
  <c r="F45" i="1"/>
  <c r="F44" i="1"/>
  <c r="F38" i="1"/>
  <c r="F34" i="1"/>
  <c r="F33" i="1"/>
  <c r="F32" i="1"/>
  <c r="F31" i="1"/>
  <c r="F27" i="1"/>
  <c r="D72" i="1" l="1"/>
  <c r="E25" i="1" l="1"/>
  <c r="E62" i="1" l="1"/>
</calcChain>
</file>

<file path=xl/sharedStrings.xml><?xml version="1.0" encoding="utf-8"?>
<sst xmlns="http://schemas.openxmlformats.org/spreadsheetml/2006/main" count="125" uniqueCount="98">
  <si>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</si>
  <si>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</si>
  <si>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</si>
  <si>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</si>
  <si>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</si>
  <si>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</si>
  <si>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</si>
  <si>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</si>
  <si>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</si>
  <si>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</si>
  <si>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</si>
  <si>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</si>
  <si>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</si>
  <si>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</si>
  <si>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</si>
  <si>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</si>
  <si>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</si>
  <si>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</si>
  <si>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</si>
  <si>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</si>
  <si>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</si>
  <si>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</si>
  <si>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</si>
  <si>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</si>
  <si>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</si>
  <si>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шт</t>
  </si>
  <si>
    <t>100м2 покрытия</t>
  </si>
  <si>
    <t>Очистка канализационной сети внутренней</t>
  </si>
  <si>
    <t>Смена дверных приборов замки навесные</t>
  </si>
  <si>
    <t>100шт приб.</t>
  </si>
  <si>
    <t>,</t>
  </si>
  <si>
    <t>100м</t>
  </si>
  <si>
    <t xml:space="preserve"> </t>
  </si>
  <si>
    <t>Окраска водно-дисперсионными акриловыми составами улучшенная по штукатурке стен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</si>
  <si>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</si>
  <si>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</si>
  <si>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</si>
  <si>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</si>
  <si>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</si>
  <si>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</si>
  <si>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Ремонт силового предохранительного шкафа</t>
  </si>
  <si>
    <t xml:space="preserve">                                        по Пролетарскому проспекту</t>
  </si>
  <si>
    <t>м.п.</t>
  </si>
  <si>
    <t>Установка хомутов диаметром трубопроводов до 100мм</t>
  </si>
  <si>
    <t>Смена кранов на шаровые краны диам.15,32 мм</t>
  </si>
  <si>
    <t>Ремонт групповых щитов на лестничной клетке со сменой автоматов</t>
  </si>
  <si>
    <t>Смена дверных приборов шпингалеты</t>
  </si>
  <si>
    <t>100ям</t>
  </si>
  <si>
    <t>Установка манометров с трехходовым краном</t>
  </si>
  <si>
    <t>1 компл.</t>
  </si>
  <si>
    <t xml:space="preserve">                 </t>
  </si>
  <si>
    <t>Рытье ям для установки стоек и столбов глубиной 0,4м</t>
  </si>
  <si>
    <t>Механизированная уборка снега на придомовой территории</t>
  </si>
  <si>
    <t>мин</t>
  </si>
  <si>
    <t>Услуги трактора, экскаватора-погрузчика,погрузка и вывоз снега со складированием</t>
  </si>
  <si>
    <t>м3</t>
  </si>
  <si>
    <t>Смена ламп накаливания</t>
  </si>
  <si>
    <t>м2</t>
  </si>
  <si>
    <t>Смена выключателей</t>
  </si>
  <si>
    <t>Прокладка внутренних трубопроводов водоснабжения и отопления из полипропиленовых труб:диам.25мм</t>
  </si>
  <si>
    <t>100 соединений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</si>
  <si>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</si>
  <si>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Смена дверных приборов пружины</t>
  </si>
  <si>
    <t>1шт</t>
  </si>
  <si>
    <t>имущества МКД, выполненных за 2022  года на жилом доме № 14</t>
  </si>
  <si>
    <t>100м2</t>
  </si>
  <si>
    <t>Очистка снега с крыш при толщине слоя: свыше 10 до 20см(козырьки)</t>
  </si>
  <si>
    <t>Добавлять на каждые следующие 10см увеличения толщины слоя</t>
  </si>
  <si>
    <t>Разборка трубопроводов из водогазопроводных труб диаметром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</si>
  <si>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диаметр:32мм</t>
  </si>
  <si>
    <t>Прокладка внутренних трубопроводов водоснабжения и отопления из полипропиленовых труб:диам.32мм</t>
  </si>
  <si>
    <t>Изготовление окон ПВХ,демонтаж,монтаж с подоконниками и отливами</t>
  </si>
  <si>
    <t>Установка обратного клапана на  трубопроводах из стальных труб диаметром до 25мм</t>
  </si>
  <si>
    <t>Устройство металлических ограждений с поручнями из поливинилхлорида</t>
  </si>
  <si>
    <t>100м ограждения</t>
  </si>
  <si>
    <t>Устройство металлических ограждений без поручней</t>
  </si>
  <si>
    <t>Ремонт металлических лестничных решеток</t>
  </si>
  <si>
    <t>100м решеток</t>
  </si>
  <si>
    <t>Усиление сварных швов наплавкой</t>
  </si>
  <si>
    <t>1м шва</t>
  </si>
  <si>
    <t>Установка дверного доводчика к металлическим дверям</t>
  </si>
  <si>
    <t>1 шт</t>
  </si>
  <si>
    <t xml:space="preserve">Установка с бетонированием урн </t>
  </si>
  <si>
    <t>Разборка покрытий полов из керамических плиток</t>
  </si>
  <si>
    <t>Устройство покрытий из керамогранитных плиток размером 30х30см</t>
  </si>
  <si>
    <t>Смена задвижек диаметром 50мм</t>
  </si>
  <si>
    <t>Ремонт межпанельных швов без вскрытия кв 222,223,85,155,225</t>
  </si>
  <si>
    <t>Установка контейнера ТКО-0,4м3</t>
  </si>
  <si>
    <t xml:space="preserve">                                                                             </t>
  </si>
  <si>
    <t>Смена досок на скамейках до 3шт.в одном месте</t>
  </si>
  <si>
    <t>100м досок</t>
  </si>
  <si>
    <t>Простая окраска  масляными составами по дереву скамеек</t>
  </si>
  <si>
    <t>Ремонт отмостки</t>
  </si>
  <si>
    <t>Механизированная обработка придомовой территории ПСС</t>
  </si>
  <si>
    <t>Ремонт межпанельных швов со вскрытием и утеплением кв 222,223,85,155,47,20,225,214,216,69,213</t>
  </si>
  <si>
    <t>100 шт приб.</t>
  </si>
  <si>
    <t>раз</t>
  </si>
  <si>
    <t>Ремонт металлических ограждений 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</si>
</sst>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9"/>
  <sheetViews>
    <sheetView tabSelected="1" topLeftCell="A55" zoomScale="142" zoomScaleNormal="142" workbookViewId="0">
      <selection activeCell="E68" sqref="A1:E68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2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64</v>
      </c>
      <c r="C4" s="3"/>
      <c r="D4" s="3"/>
      <c r="E4" s="3"/>
      <c r="F4" s="1"/>
    </row>
    <row r="5" spans="1:6" ht="15.75" x14ac:dyDescent="0.25">
      <c r="A5" s="4"/>
      <c r="B5" s="3" t="s">
        <v>41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39</v>
      </c>
      <c r="C10" s="8" t="s">
        <v>12</v>
      </c>
      <c r="D10" s="7">
        <f>0.07+0.01+0.06+0.01+0.02+0.05+0.04+0.04</f>
        <v>0.3</v>
      </c>
      <c r="E10" s="7">
        <f>1274.4+181.8+945.6+156.6+316.2+789.2+486.4+648+662.2+331.6</f>
        <v>5792</v>
      </c>
      <c r="F10" s="4"/>
    </row>
    <row r="11" spans="1:6" s="1" customFormat="1" ht="15.75" x14ac:dyDescent="0.25">
      <c r="A11" s="7">
        <v>2</v>
      </c>
      <c r="B11" s="8" t="s">
        <v>56</v>
      </c>
      <c r="C11" s="8" t="s">
        <v>12</v>
      </c>
      <c r="D11" s="7"/>
      <c r="E11" s="7"/>
      <c r="F11" s="4"/>
    </row>
    <row r="12" spans="1:6" s="1" customFormat="1" ht="15.75" x14ac:dyDescent="0.25">
      <c r="A12" s="7">
        <v>3</v>
      </c>
      <c r="B12" s="8" t="s">
        <v>58</v>
      </c>
      <c r="C12" s="8" t="s">
        <v>12</v>
      </c>
      <c r="D12" s="7">
        <f>0.02</f>
        <v>0.02</v>
      </c>
      <c r="E12" s="7">
        <f>475.8</f>
        <v>475.8</v>
      </c>
      <c r="F12" s="4"/>
    </row>
    <row r="13" spans="1:6" s="1" customFormat="1" ht="31.5" x14ac:dyDescent="0.25">
      <c r="A13" s="7">
        <v>4</v>
      </c>
      <c r="B13" s="8" t="s">
        <v>24</v>
      </c>
      <c r="C13" s="8" t="s">
        <v>12</v>
      </c>
      <c r="D13" s="7">
        <f>0.01+0.01</f>
        <v>0.02</v>
      </c>
      <c r="E13" s="7">
        <f>1512.2+1624.2</f>
        <v>3136.4</v>
      </c>
      <c r="F13" s="4"/>
    </row>
    <row r="14" spans="1:6" s="1" customFormat="1" ht="15.75" x14ac:dyDescent="0.25">
      <c r="A14" s="7">
        <v>5</v>
      </c>
      <c r="B14" s="8" t="s">
        <v>40</v>
      </c>
      <c r="C14" s="8" t="s">
        <v>12</v>
      </c>
      <c r="D14" s="7">
        <f>0.01</f>
        <v>0.01</v>
      </c>
      <c r="E14" s="7">
        <f>7164.8</f>
        <v>7164.8</v>
      </c>
      <c r="F14" s="4"/>
    </row>
    <row r="15" spans="1:6" s="1" customFormat="1" ht="31.5" x14ac:dyDescent="0.25">
      <c r="A15" s="7">
        <v>6</v>
      </c>
      <c r="B15" s="8" t="s">
        <v>45</v>
      </c>
      <c r="C15" s="8" t="s">
        <v>12</v>
      </c>
      <c r="D15" s="7">
        <f>0.01+0.01</f>
        <v>0.02</v>
      </c>
      <c r="E15" s="7">
        <f>4460+4696.6</f>
        <v>9156.6</v>
      </c>
      <c r="F15" s="4"/>
    </row>
    <row r="16" spans="1:6" s="1" customFormat="1" ht="47.25" x14ac:dyDescent="0.25">
      <c r="A16" s="7">
        <v>7</v>
      </c>
      <c r="B16" s="8" t="s">
        <v>22</v>
      </c>
      <c r="C16" s="8" t="s">
        <v>23</v>
      </c>
      <c r="D16" s="7">
        <f>0.63</f>
        <v>0.63</v>
      </c>
      <c r="E16" s="7">
        <f>4591+4591+4681.4+4681.4+4681.4+4681.4+5036.6+5036.6+5036.6+5389.4+5389.4+5389.4</f>
        <v>59185.599999999999</v>
      </c>
      <c r="F16" s="4"/>
    </row>
    <row r="17" spans="1:6" ht="47.25" x14ac:dyDescent="0.25">
      <c r="A17" s="7">
        <v>8</v>
      </c>
      <c r="B17" s="8" t="s">
        <v>14</v>
      </c>
      <c r="C17" s="8" t="s">
        <v>11</v>
      </c>
      <c r="D17" s="7">
        <f>57.4</f>
        <v>57.4</v>
      </c>
      <c r="E17" s="7">
        <f>396395.8</f>
        <v>396395.8</v>
      </c>
      <c r="F17" s="4"/>
    </row>
    <row r="18" spans="1:6" s="1" customFormat="1" ht="31.5" x14ac:dyDescent="0.25">
      <c r="A18" s="7">
        <v>9</v>
      </c>
      <c r="B18" s="8" t="s">
        <v>43</v>
      </c>
      <c r="C18" s="8" t="s">
        <v>12</v>
      </c>
      <c r="D18" s="7">
        <f>0.04+0.01</f>
        <v>0.05</v>
      </c>
      <c r="E18" s="7">
        <f>4634.2+1160.4</f>
        <v>5794.6</v>
      </c>
      <c r="F18" s="4"/>
    </row>
    <row r="19" spans="1:6" s="1" customFormat="1" ht="78.75" x14ac:dyDescent="0.25">
      <c r="A19" s="7">
        <v>10</v>
      </c>
      <c r="B19" s="8" t="s">
        <v>18</v>
      </c>
      <c r="C19" s="8" t="s">
        <v>19</v>
      </c>
      <c r="D19" s="7">
        <f>13.589</f>
        <v>13.589</v>
      </c>
      <c r="E19" s="7">
        <f>47000.4+47000.4+47926.2+47926.2+47926.2+47926.2+51550.4+51550.4+51550.4+55171.6+55171.6+55171.6</f>
        <v>605871.60000000009</v>
      </c>
      <c r="F19" s="4"/>
    </row>
    <row r="20" spans="1:6" s="1" customFormat="1" ht="31.5" x14ac:dyDescent="0.25">
      <c r="A20" s="7">
        <v>11</v>
      </c>
      <c r="B20" s="8" t="s">
        <v>20</v>
      </c>
      <c r="C20" s="8" t="s">
        <v>21</v>
      </c>
      <c r="D20" s="7">
        <f>0.06+0.04+0.05+0.1+0.04+0.08+0.07+0.06+0.12+0.08+0.02</f>
        <v>0.72</v>
      </c>
      <c r="E20" s="7">
        <f>3112.8+2075.6+2645.6+5290.6+2116.2+4231.8+3983.4+1137.2+3412.8+7307.6+4872.8+1217.8</f>
        <v>41404.200000000004</v>
      </c>
      <c r="F20" s="4"/>
    </row>
    <row r="21" spans="1:6" s="1" customFormat="1" ht="47.25" x14ac:dyDescent="0.25">
      <c r="A21" s="7">
        <v>12</v>
      </c>
      <c r="B21" s="8" t="s">
        <v>27</v>
      </c>
      <c r="C21" s="8" t="s">
        <v>11</v>
      </c>
      <c r="D21" s="7">
        <f>0.12+0.12+0.28+0.32+0.26+0.24+0.12+0.18+0.12+0.12</f>
        <v>1.88</v>
      </c>
      <c r="E21" s="7">
        <f>2980.2+2980.2+7203.4+8232.8+6687.6+6174.8+3286.4+3286.6+5252+3502.4+3502.6</f>
        <v>53089</v>
      </c>
      <c r="F21" s="4"/>
    </row>
    <row r="22" spans="1:6" s="1" customFormat="1" ht="31.5" x14ac:dyDescent="0.25">
      <c r="A22" s="7">
        <v>13</v>
      </c>
      <c r="B22" s="8" t="s">
        <v>62</v>
      </c>
      <c r="C22" s="8" t="s">
        <v>95</v>
      </c>
      <c r="D22" s="7">
        <f>0.01</f>
        <v>0.01</v>
      </c>
      <c r="E22" s="7">
        <f>527.8</f>
        <v>527.79999999999995</v>
      </c>
      <c r="F22" s="4"/>
    </row>
    <row r="23" spans="1:6" s="1" customFormat="1" ht="31.5" x14ac:dyDescent="0.25">
      <c r="A23" s="7">
        <v>14</v>
      </c>
      <c r="B23" s="8" t="s">
        <v>46</v>
      </c>
      <c r="C23" s="8" t="s">
        <v>29</v>
      </c>
      <c r="D23" s="7">
        <f>0.01</f>
        <v>0.01</v>
      </c>
      <c r="E23" s="7">
        <f>1210.2</f>
        <v>1210.2</v>
      </c>
      <c r="F23" s="4"/>
    </row>
    <row r="24" spans="1:6" s="1" customFormat="1" ht="31.5" x14ac:dyDescent="0.25">
      <c r="A24" s="7">
        <v>15</v>
      </c>
      <c r="B24" s="8" t="s">
        <v>28</v>
      </c>
      <c r="C24" s="8" t="s">
        <v>29</v>
      </c>
      <c r="D24" s="7">
        <f>0.01+0.01</f>
        <v>0.02</v>
      </c>
      <c r="E24" s="7">
        <f>1069.4+1069.4</f>
        <v>2138.8000000000002</v>
      </c>
      <c r="F24" s="4"/>
    </row>
    <row r="25" spans="1:6" ht="15.75" x14ac:dyDescent="0.25">
      <c r="A25" s="7"/>
      <c r="B25" s="8"/>
      <c r="C25" s="8"/>
      <c r="D25" s="7"/>
      <c r="E25" s="9">
        <f>SUM(E10:E24)</f>
        <v>1191343.2000000002</v>
      </c>
      <c r="F25" s="4"/>
    </row>
    <row r="26" spans="1:6" ht="15.75" x14ac:dyDescent="0.25">
      <c r="A26" s="7"/>
      <c r="B26" s="12" t="s">
        <v>10</v>
      </c>
      <c r="C26" s="8"/>
      <c r="D26" s="7"/>
      <c r="E26" s="7"/>
      <c r="F26" s="4"/>
    </row>
    <row r="27" spans="1:6" ht="31.5" x14ac:dyDescent="0.25">
      <c r="A27" s="7">
        <v>1</v>
      </c>
      <c r="B27" s="8" t="s">
        <v>44</v>
      </c>
      <c r="C27" s="8" t="s">
        <v>12</v>
      </c>
      <c r="D27" s="7">
        <f>0.07+0.01+0.12</f>
        <v>0.2</v>
      </c>
      <c r="E27" s="7">
        <f>5926+1197.6+15166.8</f>
        <v>22290.400000000001</v>
      </c>
      <c r="F27" s="4">
        <f>E27/17</f>
        <v>1311.2</v>
      </c>
    </row>
    <row r="28" spans="1:6" s="1" customFormat="1" ht="47.25" x14ac:dyDescent="0.25">
      <c r="A28" s="7">
        <v>2</v>
      </c>
      <c r="B28" s="16" t="s">
        <v>68</v>
      </c>
      <c r="C28" s="16" t="s">
        <v>11</v>
      </c>
      <c r="D28" s="7">
        <f>0.02+0.3</f>
        <v>0.32</v>
      </c>
      <c r="E28" s="7">
        <f>493+8021.6</f>
        <v>8514.6</v>
      </c>
      <c r="F28" s="4"/>
    </row>
    <row r="29" spans="1:6" s="1" customFormat="1" ht="78.75" x14ac:dyDescent="0.25">
      <c r="A29" s="7">
        <v>3</v>
      </c>
      <c r="B29" s="8" t="s">
        <v>61</v>
      </c>
      <c r="C29" s="8" t="s">
        <v>60</v>
      </c>
      <c r="D29" s="7">
        <f>0.14+0.11</f>
        <v>0.25</v>
      </c>
      <c r="E29" s="7">
        <f>374.4+292+10508.4</f>
        <v>11174.8</v>
      </c>
      <c r="F29" s="4"/>
    </row>
    <row r="30" spans="1:6" s="1" customFormat="1" ht="47.25" x14ac:dyDescent="0.25">
      <c r="A30" s="7">
        <v>4</v>
      </c>
      <c r="B30" s="8" t="s">
        <v>59</v>
      </c>
      <c r="C30" s="8" t="s">
        <v>31</v>
      </c>
      <c r="D30" s="7">
        <f>0.3+0.3</f>
        <v>0.6</v>
      </c>
      <c r="E30" s="7">
        <f>9350.4</f>
        <v>9350.4</v>
      </c>
      <c r="F30" s="4"/>
    </row>
    <row r="31" spans="1:6" s="1" customFormat="1" ht="78.75" x14ac:dyDescent="0.25">
      <c r="A31" s="7">
        <v>5</v>
      </c>
      <c r="B31" s="8" t="s">
        <v>69</v>
      </c>
      <c r="C31" s="8" t="s">
        <v>60</v>
      </c>
      <c r="D31" s="7">
        <v>0.03</v>
      </c>
      <c r="E31" s="7">
        <f>99</f>
        <v>99</v>
      </c>
      <c r="F31" s="4">
        <f>E31/2</f>
        <v>49.5</v>
      </c>
    </row>
    <row r="32" spans="1:6" s="1" customFormat="1" ht="47.25" x14ac:dyDescent="0.25">
      <c r="A32" s="7">
        <v>6</v>
      </c>
      <c r="B32" s="8" t="s">
        <v>70</v>
      </c>
      <c r="C32" s="8" t="s">
        <v>31</v>
      </c>
      <c r="D32" s="7">
        <f>0.02+0.12</f>
        <v>0.13999999999999999</v>
      </c>
      <c r="E32" s="7">
        <f>1066.49+3464.8</f>
        <v>4531.29</v>
      </c>
      <c r="F32" s="4">
        <f>E32/4.5</f>
        <v>1006.9533333333334</v>
      </c>
    </row>
    <row r="33" spans="1:6" s="1" customFormat="1" ht="47.25" x14ac:dyDescent="0.25">
      <c r="A33" s="7">
        <v>7</v>
      </c>
      <c r="B33" s="8" t="s">
        <v>72</v>
      </c>
      <c r="C33" s="8" t="s">
        <v>63</v>
      </c>
      <c r="D33" s="7">
        <f>7+7</f>
        <v>14</v>
      </c>
      <c r="E33" s="7">
        <f>16786.4+16783.4</f>
        <v>33569.800000000003</v>
      </c>
      <c r="F33" s="4">
        <f>E33/2</f>
        <v>16784.900000000001</v>
      </c>
    </row>
    <row r="34" spans="1:6" s="1" customFormat="1" ht="31.5" x14ac:dyDescent="0.25">
      <c r="A34" s="7">
        <v>8</v>
      </c>
      <c r="B34" s="8" t="s">
        <v>48</v>
      </c>
      <c r="C34" s="8" t="s">
        <v>49</v>
      </c>
      <c r="D34" s="7">
        <f>10</f>
        <v>10</v>
      </c>
      <c r="E34" s="7">
        <f>11367.4</f>
        <v>11367.4</v>
      </c>
      <c r="F34" s="4">
        <f>E34/3</f>
        <v>3789.1333333333332</v>
      </c>
    </row>
    <row r="35" spans="1:6" s="1" customFormat="1" ht="15.75" x14ac:dyDescent="0.25">
      <c r="A35" s="7">
        <v>9</v>
      </c>
      <c r="B35" s="8" t="s">
        <v>85</v>
      </c>
      <c r="C35" s="8" t="s">
        <v>12</v>
      </c>
      <c r="D35" s="7">
        <f>0.01</f>
        <v>0.01</v>
      </c>
      <c r="E35" s="7">
        <f>15721.6</f>
        <v>15721.6</v>
      </c>
      <c r="F35" s="4"/>
    </row>
    <row r="36" spans="1:6" s="1" customFormat="1" ht="31.5" x14ac:dyDescent="0.25">
      <c r="A36" s="7">
        <v>10</v>
      </c>
      <c r="B36" s="16" t="s">
        <v>83</v>
      </c>
      <c r="C36" s="16" t="s">
        <v>26</v>
      </c>
      <c r="D36" s="7">
        <f>0.067</f>
        <v>6.7000000000000004E-2</v>
      </c>
      <c r="E36" s="7">
        <f>3526.2</f>
        <v>3526.2</v>
      </c>
      <c r="F36" s="4"/>
    </row>
    <row r="37" spans="1:6" s="1" customFormat="1" ht="31.5" x14ac:dyDescent="0.25">
      <c r="A37" s="7">
        <v>11</v>
      </c>
      <c r="B37" s="16" t="s">
        <v>84</v>
      </c>
      <c r="C37" s="16" t="s">
        <v>65</v>
      </c>
      <c r="D37" s="7">
        <f>0.067</f>
        <v>6.7000000000000004E-2</v>
      </c>
      <c r="E37" s="7">
        <f>9797.8</f>
        <v>9797.7999999999993</v>
      </c>
      <c r="F37" s="4"/>
    </row>
    <row r="38" spans="1:6" s="1" customFormat="1" ht="78.75" x14ac:dyDescent="0.25">
      <c r="A38" s="7">
        <v>12</v>
      </c>
      <c r="B38" s="8" t="s">
        <v>33</v>
      </c>
      <c r="C38" s="8" t="s">
        <v>13</v>
      </c>
      <c r="D38" s="7">
        <f>0.166</f>
        <v>0.16600000000000001</v>
      </c>
      <c r="E38" s="7">
        <f>9019.8</f>
        <v>9019.7999999999993</v>
      </c>
      <c r="F38" s="4">
        <f>E38/699.4</f>
        <v>12.896482699456676</v>
      </c>
    </row>
    <row r="39" spans="1:6" s="1" customFormat="1" ht="47.25" x14ac:dyDescent="0.25">
      <c r="A39" s="7">
        <v>13</v>
      </c>
      <c r="B39" s="8" t="s">
        <v>73</v>
      </c>
      <c r="C39" s="8" t="s">
        <v>74</v>
      </c>
      <c r="D39" s="7">
        <f>0.24</f>
        <v>0.24</v>
      </c>
      <c r="E39" s="7">
        <f>82807.8</f>
        <v>82807.8</v>
      </c>
      <c r="F39" s="4"/>
    </row>
    <row r="40" spans="1:6" s="1" customFormat="1" ht="47.25" x14ac:dyDescent="0.25">
      <c r="A40" s="7">
        <v>14</v>
      </c>
      <c r="B40" s="8" t="s">
        <v>75</v>
      </c>
      <c r="C40" s="8" t="s">
        <v>74</v>
      </c>
      <c r="D40" s="7">
        <v>-0.24</v>
      </c>
      <c r="E40" s="7">
        <v>-76838.8</v>
      </c>
      <c r="F40" s="4"/>
    </row>
    <row r="41" spans="1:6" s="1" customFormat="1" ht="31.5" x14ac:dyDescent="0.25">
      <c r="A41" s="7">
        <v>15</v>
      </c>
      <c r="B41" s="8" t="s">
        <v>76</v>
      </c>
      <c r="C41" s="8" t="s">
        <v>77</v>
      </c>
      <c r="D41" s="7">
        <f>0.06</f>
        <v>0.06</v>
      </c>
      <c r="E41" s="7">
        <f>795.6</f>
        <v>795.6</v>
      </c>
      <c r="F41" s="4"/>
    </row>
    <row r="42" spans="1:6" s="1" customFormat="1" ht="15.75" x14ac:dyDescent="0.25">
      <c r="A42" s="7">
        <v>16</v>
      </c>
      <c r="B42" s="8" t="s">
        <v>78</v>
      </c>
      <c r="C42" s="8" t="s">
        <v>79</v>
      </c>
      <c r="D42" s="7">
        <f>1</f>
        <v>1</v>
      </c>
      <c r="E42" s="7">
        <v>2513.8000000000002</v>
      </c>
      <c r="F42" s="4"/>
    </row>
    <row r="43" spans="1:6" s="1" customFormat="1" ht="31.5" x14ac:dyDescent="0.25">
      <c r="A43" s="7">
        <v>17</v>
      </c>
      <c r="B43" s="8" t="s">
        <v>80</v>
      </c>
      <c r="C43" s="8" t="s">
        <v>81</v>
      </c>
      <c r="D43" s="7">
        <f>1</f>
        <v>1</v>
      </c>
      <c r="E43" s="7">
        <f>4719.4</f>
        <v>4719.3999999999996</v>
      </c>
      <c r="F43" s="4"/>
    </row>
    <row r="44" spans="1:6" s="1" customFormat="1" ht="31.5" x14ac:dyDescent="0.25">
      <c r="A44" s="7">
        <v>18</v>
      </c>
      <c r="B44" s="8" t="s">
        <v>89</v>
      </c>
      <c r="C44" s="8" t="s">
        <v>90</v>
      </c>
      <c r="D44" s="7">
        <f>0.06</f>
        <v>0.06</v>
      </c>
      <c r="E44" s="7">
        <f>3742</f>
        <v>3742</v>
      </c>
      <c r="F44" s="4">
        <f>E44/4</f>
        <v>935.5</v>
      </c>
    </row>
    <row r="45" spans="1:6" s="1" customFormat="1" ht="78.75" x14ac:dyDescent="0.25">
      <c r="A45" s="7">
        <v>19</v>
      </c>
      <c r="B45" s="8" t="s">
        <v>91</v>
      </c>
      <c r="C45" s="8" t="s">
        <v>13</v>
      </c>
      <c r="D45" s="7">
        <f>0.0833</f>
        <v>8.3299999999999999E-2</v>
      </c>
      <c r="E45" s="7">
        <f>2040.4</f>
        <v>2040.4</v>
      </c>
      <c r="F45" s="4">
        <f>E45/17.4</f>
        <v>117.26436781609196</v>
      </c>
    </row>
    <row r="46" spans="1:6" s="1" customFormat="1" ht="31.5" x14ac:dyDescent="0.25">
      <c r="A46" s="7">
        <v>20</v>
      </c>
      <c r="B46" s="8" t="s">
        <v>71</v>
      </c>
      <c r="C46" s="8" t="s">
        <v>25</v>
      </c>
      <c r="D46" s="7">
        <v>16</v>
      </c>
      <c r="E46" s="7">
        <v>182174</v>
      </c>
      <c r="F46" s="4"/>
    </row>
    <row r="47" spans="1:6" s="1" customFormat="1" ht="47.25" x14ac:dyDescent="0.25">
      <c r="A47" s="7">
        <v>21</v>
      </c>
      <c r="B47" s="8" t="s">
        <v>94</v>
      </c>
      <c r="C47" s="8" t="s">
        <v>42</v>
      </c>
      <c r="D47" s="7">
        <f>60+94+20</f>
        <v>174</v>
      </c>
      <c r="E47" s="7">
        <f>41400+64860+13800</f>
        <v>120060</v>
      </c>
      <c r="F47" s="4">
        <f>E47/294</f>
        <v>408.36734693877548</v>
      </c>
    </row>
    <row r="48" spans="1:6" s="1" customFormat="1" ht="31.5" x14ac:dyDescent="0.25">
      <c r="A48" s="7">
        <v>22</v>
      </c>
      <c r="B48" s="8" t="s">
        <v>86</v>
      </c>
      <c r="C48" s="8" t="s">
        <v>42</v>
      </c>
      <c r="D48" s="7">
        <f>19+34</f>
        <v>53</v>
      </c>
      <c r="E48" s="7">
        <f>8151+14586</f>
        <v>22737</v>
      </c>
      <c r="F48" s="4">
        <f>E48/10</f>
        <v>2273.6999999999998</v>
      </c>
    </row>
    <row r="49" spans="1:10" s="1" customFormat="1" ht="15.75" x14ac:dyDescent="0.25">
      <c r="A49" s="7">
        <v>23</v>
      </c>
      <c r="B49" s="8" t="s">
        <v>92</v>
      </c>
      <c r="C49" s="8" t="s">
        <v>57</v>
      </c>
      <c r="D49" s="7">
        <f>12.942</f>
        <v>12.942</v>
      </c>
      <c r="E49" s="7">
        <f>9726</f>
        <v>9726</v>
      </c>
      <c r="F49" s="4">
        <f>E49/52</f>
        <v>187.03846153846155</v>
      </c>
    </row>
    <row r="50" spans="1:10" s="1" customFormat="1" ht="15.75" x14ac:dyDescent="0.25">
      <c r="A50" s="7">
        <v>24</v>
      </c>
      <c r="B50" s="8" t="s">
        <v>40</v>
      </c>
      <c r="C50" s="8" t="s">
        <v>12</v>
      </c>
      <c r="D50" s="7">
        <f>0.02</f>
        <v>0.02</v>
      </c>
      <c r="E50" s="7">
        <f>23353</f>
        <v>23353</v>
      </c>
      <c r="F50" s="4"/>
    </row>
    <row r="51" spans="1:10" s="1" customFormat="1" ht="31.5" x14ac:dyDescent="0.25">
      <c r="A51" s="7">
        <v>25</v>
      </c>
      <c r="B51" s="8" t="s">
        <v>24</v>
      </c>
      <c r="C51" s="8" t="s">
        <v>12</v>
      </c>
      <c r="D51" s="7">
        <f>0.05</f>
        <v>0.05</v>
      </c>
      <c r="E51" s="7">
        <f>7495.8</f>
        <v>7495.8</v>
      </c>
      <c r="F51" s="4">
        <f>E51/3</f>
        <v>2498.6</v>
      </c>
    </row>
    <row r="52" spans="1:10" s="1" customFormat="1" ht="15.75" x14ac:dyDescent="0.25">
      <c r="A52" s="7">
        <v>26</v>
      </c>
      <c r="B52" s="8" t="s">
        <v>87</v>
      </c>
      <c r="C52" s="8" t="s">
        <v>25</v>
      </c>
      <c r="D52" s="7">
        <f>2+2</f>
        <v>4</v>
      </c>
      <c r="E52" s="7">
        <f>24353+21934</f>
        <v>46287</v>
      </c>
      <c r="F52" s="4"/>
    </row>
    <row r="53" spans="1:10" s="1" customFormat="1" ht="31.5" x14ac:dyDescent="0.25">
      <c r="A53" s="7">
        <v>27</v>
      </c>
      <c r="B53" s="8" t="s">
        <v>66</v>
      </c>
      <c r="C53" s="8" t="s">
        <v>65</v>
      </c>
      <c r="D53" s="7">
        <f>0.21</f>
        <v>0.21</v>
      </c>
      <c r="E53" s="7">
        <f>548.2</f>
        <v>548.20000000000005</v>
      </c>
      <c r="F53" s="4"/>
    </row>
    <row r="54" spans="1:10" s="1" customFormat="1" ht="31.5" x14ac:dyDescent="0.25">
      <c r="A54" s="7">
        <v>28</v>
      </c>
      <c r="B54" s="8" t="s">
        <v>67</v>
      </c>
      <c r="C54" s="8" t="s">
        <v>65</v>
      </c>
      <c r="D54" s="7">
        <v>0.42</v>
      </c>
      <c r="E54" s="7">
        <f>143.4</f>
        <v>143.4</v>
      </c>
      <c r="F54" s="4"/>
    </row>
    <row r="55" spans="1:10" s="1" customFormat="1" ht="31.5" x14ac:dyDescent="0.25">
      <c r="A55" s="7">
        <v>29</v>
      </c>
      <c r="B55" s="8" t="s">
        <v>51</v>
      </c>
      <c r="C55" s="8" t="s">
        <v>47</v>
      </c>
      <c r="D55" s="7">
        <v>0.01</v>
      </c>
      <c r="E55" s="7">
        <f>1666</f>
        <v>1666</v>
      </c>
      <c r="F55" s="4">
        <f>E55/9</f>
        <v>185.11111111111111</v>
      </c>
    </row>
    <row r="56" spans="1:10" s="1" customFormat="1" ht="15.75" x14ac:dyDescent="0.25">
      <c r="A56" s="7">
        <v>30</v>
      </c>
      <c r="B56" s="8" t="s">
        <v>82</v>
      </c>
      <c r="C56" s="8" t="s">
        <v>25</v>
      </c>
      <c r="D56" s="7">
        <v>1</v>
      </c>
      <c r="E56" s="7">
        <f>5446.8</f>
        <v>5446.8</v>
      </c>
      <c r="F56" s="4">
        <f>E56/2</f>
        <v>2723.4</v>
      </c>
    </row>
    <row r="57" spans="1:10" s="1" customFormat="1" ht="15.75" x14ac:dyDescent="0.25">
      <c r="A57" s="7">
        <v>31</v>
      </c>
      <c r="B57" s="8" t="s">
        <v>97</v>
      </c>
      <c r="C57" s="8" t="s">
        <v>57</v>
      </c>
      <c r="D57" s="7">
        <f>2</f>
        <v>2</v>
      </c>
      <c r="E57" s="7">
        <f>17341.6</f>
        <v>17341.599999999999</v>
      </c>
      <c r="F57" s="4"/>
    </row>
    <row r="58" spans="1:10" s="1" customFormat="1" ht="31.5" x14ac:dyDescent="0.25">
      <c r="A58" s="7">
        <v>32</v>
      </c>
      <c r="B58" s="8" t="s">
        <v>93</v>
      </c>
      <c r="C58" s="8" t="s">
        <v>96</v>
      </c>
      <c r="D58" s="7">
        <v>2</v>
      </c>
      <c r="E58" s="7">
        <v>1600</v>
      </c>
      <c r="F58" s="4"/>
    </row>
    <row r="59" spans="1:10" s="1" customFormat="1" ht="47.25" x14ac:dyDescent="0.25">
      <c r="A59" s="7">
        <v>33</v>
      </c>
      <c r="B59" s="8" t="s">
        <v>54</v>
      </c>
      <c r="C59" s="8" t="s">
        <v>55</v>
      </c>
      <c r="D59" s="7">
        <f>75+100+20+60</f>
        <v>255</v>
      </c>
      <c r="E59" s="15">
        <f>48750+65000+13000+39000</f>
        <v>165750</v>
      </c>
      <c r="F59" s="4">
        <f>E59/60</f>
        <v>2762.5</v>
      </c>
    </row>
    <row r="60" spans="1:10" s="1" customFormat="1" ht="31.5" x14ac:dyDescent="0.25">
      <c r="A60" s="7">
        <v>34</v>
      </c>
      <c r="B60" s="8" t="s">
        <v>52</v>
      </c>
      <c r="C60" s="8" t="s">
        <v>53</v>
      </c>
      <c r="D60" s="7">
        <f>585+330+60+180+180+840+380</f>
        <v>2555</v>
      </c>
      <c r="E60" s="7">
        <f>19498+10999+2000+9000+7501+42000+15835</f>
        <v>106833</v>
      </c>
      <c r="F60" s="4">
        <f>E60/D60</f>
        <v>41.813307240704503</v>
      </c>
    </row>
    <row r="61" spans="1:10" s="1" customFormat="1" ht="15.75" x14ac:dyDescent="0.25">
      <c r="A61" s="7"/>
      <c r="B61" s="8"/>
      <c r="C61" s="8"/>
      <c r="D61" s="7"/>
      <c r="E61" s="9">
        <f>SUM(E27:E60)</f>
        <v>869905.09000000008</v>
      </c>
      <c r="F61" s="4"/>
    </row>
    <row r="62" spans="1:10" ht="15.75" x14ac:dyDescent="0.25">
      <c r="A62" s="7"/>
      <c r="B62" s="8" t="s">
        <v>8</v>
      </c>
      <c r="C62" s="7"/>
      <c r="D62" s="7"/>
      <c r="E62" s="9">
        <f>E25+E61</f>
        <v>2061248.2900000003</v>
      </c>
      <c r="F62" s="4"/>
    </row>
    <row r="63" spans="1:10" ht="15.75" x14ac:dyDescent="0.25">
      <c r="A63" s="7"/>
      <c r="B63" s="8"/>
      <c r="C63" s="7"/>
      <c r="D63" s="7"/>
      <c r="E63" s="7"/>
      <c r="F63" s="4"/>
    </row>
    <row r="64" spans="1:10" ht="15.75" x14ac:dyDescent="0.25">
      <c r="A64" s="10"/>
      <c r="B64" s="10"/>
      <c r="C64" s="10"/>
      <c r="D64" s="10"/>
      <c r="E64" s="10"/>
      <c r="F64" s="4"/>
      <c r="J64" t="s">
        <v>32</v>
      </c>
    </row>
    <row r="65" spans="1:7" ht="15.75" x14ac:dyDescent="0.25">
      <c r="A65" s="10"/>
      <c r="B65" s="10" t="s">
        <v>15</v>
      </c>
      <c r="C65" s="10" t="s">
        <v>35</v>
      </c>
      <c r="D65" s="10"/>
      <c r="E65" s="10"/>
      <c r="F65" s="1"/>
    </row>
    <row r="66" spans="1:7" x14ac:dyDescent="0.25">
      <c r="A66" s="2"/>
      <c r="B66" s="2"/>
      <c r="C66" s="2"/>
      <c r="D66" s="2"/>
      <c r="E66" s="2"/>
      <c r="F66" s="1"/>
    </row>
    <row r="67" spans="1:7" x14ac:dyDescent="0.25">
      <c r="A67" s="2"/>
      <c r="B67" s="2"/>
      <c r="C67" s="2"/>
      <c r="D67" s="2"/>
      <c r="E67" s="2"/>
      <c r="F67" s="1"/>
    </row>
    <row r="68" spans="1:7" x14ac:dyDescent="0.25">
      <c r="A68" s="2"/>
      <c r="B68" s="2" t="s">
        <v>16</v>
      </c>
      <c r="C68" s="2"/>
      <c r="D68" s="14"/>
      <c r="E68" s="2"/>
      <c r="F68" s="13"/>
      <c r="G68" s="13"/>
    </row>
    <row r="69" spans="1:7" x14ac:dyDescent="0.25">
      <c r="A69" s="2"/>
      <c r="B69" s="2"/>
      <c r="C69" s="2"/>
      <c r="D69" s="2"/>
      <c r="E69" s="2"/>
      <c r="F69" s="13"/>
      <c r="G69" s="13" t="s">
        <v>32</v>
      </c>
    </row>
    <row r="70" spans="1:7" x14ac:dyDescent="0.25">
      <c r="A70" s="2"/>
      <c r="B70" s="2"/>
      <c r="C70" s="2" t="s">
        <v>36</v>
      </c>
      <c r="D70" s="14">
        <f>58958.8+56829+65983.8+71991.2+62888+465135+61780.6+61497+63934.4+73782.8+75588.6+72974</f>
        <v>1191343.2000000002</v>
      </c>
      <c r="E70" s="14"/>
      <c r="F70" s="13"/>
      <c r="G70" s="13" t="s">
        <v>50</v>
      </c>
    </row>
    <row r="71" spans="1:7" x14ac:dyDescent="0.25">
      <c r="A71" s="2"/>
      <c r="B71" s="2"/>
      <c r="C71" s="2" t="s">
        <v>37</v>
      </c>
      <c r="D71" s="14">
        <f>75743.8+76690.6+185832.4+57885.8+58085.2+64072.6+119520.6+17341.6+32316.6+18745.8+66035+97635</f>
        <v>869905</v>
      </c>
      <c r="E71" s="2" t="s">
        <v>88</v>
      </c>
      <c r="F71" s="13"/>
    </row>
    <row r="72" spans="1:7" x14ac:dyDescent="0.25">
      <c r="A72" s="2"/>
      <c r="B72" s="2"/>
      <c r="C72" s="2"/>
      <c r="D72" s="14">
        <f>D70+D71</f>
        <v>2061248.2000000002</v>
      </c>
      <c r="E72" s="14"/>
    </row>
    <row r="73" spans="1:7" x14ac:dyDescent="0.25">
      <c r="A73" s="2"/>
      <c r="B73" s="2"/>
      <c r="C73" s="2" t="s">
        <v>38</v>
      </c>
      <c r="D73" s="14">
        <f>134702.6+133519.6+251816.2+129877+120973.2+529207.6+181301.2+78838.6+96251+92528.6+141623.6+170609</f>
        <v>2061248.2000000002</v>
      </c>
      <c r="E73" s="2"/>
    </row>
    <row r="74" spans="1:7" x14ac:dyDescent="0.25">
      <c r="A74" s="2"/>
      <c r="B74" s="2"/>
      <c r="C74" s="2"/>
      <c r="D74" s="2"/>
      <c r="E74" s="2"/>
    </row>
    <row r="75" spans="1:7" x14ac:dyDescent="0.25">
      <c r="A75" s="2"/>
      <c r="B75" s="2"/>
      <c r="C75" s="2"/>
      <c r="D75" s="2"/>
      <c r="E75" s="2" t="s">
        <v>32</v>
      </c>
    </row>
    <row r="76" spans="1:7" x14ac:dyDescent="0.25">
      <c r="A76" s="2"/>
      <c r="B76" s="2"/>
      <c r="C76" s="2"/>
      <c r="D76" s="2"/>
      <c r="E76" s="2"/>
    </row>
    <row r="77" spans="1:7" x14ac:dyDescent="0.25">
      <c r="A77" s="2"/>
      <c r="B77" s="2"/>
      <c r="C77" s="2"/>
      <c r="D77" s="2"/>
      <c r="E77" s="2"/>
    </row>
    <row r="78" spans="1:7" x14ac:dyDescent="0.25">
      <c r="A78" s="2"/>
      <c r="B78" s="2"/>
      <c r="C78" s="2"/>
      <c r="D78" s="2"/>
      <c r="E78" s="2"/>
    </row>
    <row r="79" spans="1:7" x14ac:dyDescent="0.25">
      <c r="A79" s="2"/>
      <c r="B79" s="2"/>
      <c r="C79" s="2"/>
      <c r="D79" s="2"/>
      <c r="E79" s="2"/>
    </row>
    <row r="80" spans="1:7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1217" spans="7:7" x14ac:dyDescent="0.25">
      <c r="G1217" t="s">
        <v>34</v>
      </c>
    </row>
    <row r="1219" spans="7:7" x14ac:dyDescent="0.25">
      <c r="G1219" t="s">
        <v>30</v>
      </c>
    </row>
  </sheetData>
  <pageMargins left="0.78740157480314965" right="0.11811023622047245" top="0.35433070866141736" bottom="0.35433070866141736" header="0.31496062992125984" footer="0.31496062992125984"/>
  <pageSetup paperSize="9" scale="67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2023-01-20T10:43:33Z</cp:lastPrinted>
  <dcterms:created xsi:type="dcterms:W3CDTF">2016-09-29T06:37:31Z</dcterms:created>
  <dcterms:modified xsi:type="dcterms:W3CDTF">2023-01-20T10:44:23Z</dcterms:modified>
</cp:coreProperties>
</file>