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62" i="1" l="1"/>
  <c r="D62" i="1"/>
  <c r="E46" i="1"/>
  <c r="D46" i="1"/>
  <c r="E45" i="1"/>
  <c r="D45" i="1"/>
  <c r="E43" i="1"/>
  <c r="D43" i="1"/>
  <c r="E44" i="1"/>
  <c r="D44" i="1"/>
  <c r="E42" i="1"/>
  <c r="D42" i="1"/>
  <c r="E18" i="1"/>
  <c r="D18" i="1"/>
  <c r="E19" i="1"/>
  <c r="D19" i="1"/>
  <c r="E14" i="1"/>
  <c r="E10" i="1"/>
  <c r="D10" i="1"/>
  <c r="E16" i="1"/>
  <c r="E17" i="1"/>
  <c r="D74" i="1"/>
  <c r="D72" i="1"/>
  <c r="D71" i="1"/>
  <c r="E60" i="1" l="1"/>
  <c r="D60" i="1"/>
  <c r="E58" i="1"/>
  <c r="D58" i="1"/>
  <c r="E40" i="1"/>
  <c r="D40" i="1"/>
  <c r="E32" i="1"/>
  <c r="D32" i="1"/>
  <c r="E31" i="1"/>
  <c r="D31" i="1"/>
  <c r="E35" i="1"/>
  <c r="D35" i="1"/>
  <c r="E34" i="1"/>
  <c r="D34" i="1"/>
  <c r="E13" i="1"/>
  <c r="D13" i="1"/>
  <c r="E12" i="1"/>
  <c r="D12" i="1"/>
  <c r="E11" i="1"/>
  <c r="D11" i="1"/>
  <c r="E52" i="1" l="1"/>
  <c r="D52" i="1"/>
  <c r="E36" i="1"/>
  <c r="E24" i="1"/>
  <c r="D24" i="1"/>
  <c r="E21" i="1"/>
  <c r="D21" i="1"/>
  <c r="G25" i="1"/>
  <c r="E20" i="1"/>
  <c r="E15" i="1"/>
  <c r="E23" i="1"/>
  <c r="D16" i="1" l="1"/>
  <c r="E55" i="1" l="1"/>
  <c r="D55" i="1"/>
  <c r="E54" i="1"/>
  <c r="D54" i="1"/>
  <c r="E53" i="1"/>
  <c r="D53" i="1"/>
  <c r="E27" i="1"/>
  <c r="D27" i="1"/>
  <c r="E41" i="1" l="1"/>
  <c r="D41" i="1"/>
  <c r="E29" i="1"/>
  <c r="D29" i="1"/>
  <c r="E28" i="1"/>
  <c r="D28" i="1"/>
  <c r="E39" i="1"/>
  <c r="D39" i="1"/>
  <c r="E51" i="1" l="1"/>
  <c r="D51" i="1"/>
  <c r="E47" i="1"/>
  <c r="D47" i="1"/>
  <c r="E48" i="1"/>
  <c r="D48" i="1"/>
  <c r="E38" i="1"/>
  <c r="D38" i="1"/>
  <c r="E37" i="1"/>
  <c r="D37" i="1"/>
  <c r="E30" i="1"/>
  <c r="D30" i="1"/>
  <c r="E33" i="1"/>
  <c r="D33" i="1"/>
  <c r="E25" i="1" l="1"/>
  <c r="D73" i="1"/>
  <c r="E63" i="1" l="1"/>
  <c r="E64" i="1" l="1"/>
</calcChain>
</file>

<file path=xl/sharedStrings.xml><?xml version="1.0" encoding="utf-8"?>
<sst xmlns="http://schemas.openxmlformats.org/spreadsheetml/2006/main" count="126" uniqueCount="103">
  <si>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</si>
  <si>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</si>
  <si>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</si>
  <si>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</si>
  <si>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</si>
  <si>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</si>
  <si>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</si>
  <si>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</si>
  <si>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</si>
  <si>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</si>
  <si>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</si>
  <si>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</si>
  <si>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</si>
  <si>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Гидравлическое испытание трубопроводов систем отопления диам.до 50мм</t>
  </si>
  <si>
    <t>Установка хомутов диаметром трубопроводов 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</si>
  <si>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</si>
  <si>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</si>
  <si>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</si>
  <si>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</si>
  <si>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</si>
  <si>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</si>
  <si>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</si>
  <si>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</si>
  <si>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</si>
  <si>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шт</t>
  </si>
  <si>
    <t>Очистка канализационной сети внутренней</t>
  </si>
  <si>
    <t>Смена дверных приборов замки навесные</t>
  </si>
  <si>
    <t>100шт приб.</t>
  </si>
  <si>
    <t>100м трубопровода с фасонными частями</t>
  </si>
  <si>
    <t>Ремонт групповых щитков на лестничной клетке со сменой автоматов</t>
  </si>
  <si>
    <t>,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</si>
  <si>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</si>
  <si>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</si>
  <si>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</si>
  <si>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</si>
  <si>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</si>
  <si>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</si>
  <si>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</si>
  <si>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</si>
  <si>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 xml:space="preserve">                                        по Пролетарскому проспекту</t>
  </si>
  <si>
    <t>м.п.</t>
  </si>
  <si>
    <t>1 врезка</t>
  </si>
  <si>
    <t>100м2 окрашиваемой поверхности</t>
  </si>
  <si>
    <t>Разборка трубопроводов из водогазопроводных труб диаметром до 32мм</t>
  </si>
  <si>
    <t xml:space="preserve">Установка в жилых зданиях оконных блоков из ПВХ профилей поворотных с площадью проема до 2м2 </t>
  </si>
  <si>
    <t>100м2 проема</t>
  </si>
  <si>
    <t>Установка подооконных досок из ПВХ в панельных домах</t>
  </si>
  <si>
    <t>100м.п.</t>
  </si>
  <si>
    <t>Демонтаж оконных коробок в каменных стенах с отбивкой штукатурки в откосах</t>
  </si>
  <si>
    <t>100 коробок</t>
  </si>
  <si>
    <t>Снятие оконных переплетов остекленных</t>
  </si>
  <si>
    <t>100м2 оконных переплетов</t>
  </si>
  <si>
    <t>Смена дверных приборов :пружины</t>
  </si>
  <si>
    <t>Прокладка внутренних трубопроводов водоснабжения и отопления из полипропиленовых труб: диам. 25мм</t>
  </si>
  <si>
    <t>Механизированная уборка снега на придомовой территории</t>
  </si>
  <si>
    <t>мин</t>
  </si>
  <si>
    <t>Услуги трактора, экскаватор-погрузчика, погрузка и вывоз снега со складированием</t>
  </si>
  <si>
    <t>м3</t>
  </si>
  <si>
    <t>Очистка кровли от снега и скалывание сосулек</t>
  </si>
  <si>
    <t>м2 кровли</t>
  </si>
  <si>
    <t>Смена трубопроводов из полиэтиленовых канализационных труб диам.50мм</t>
  </si>
  <si>
    <t>Смена внутренних трубопроводов из стальных труб диаметром до 32мм</t>
  </si>
  <si>
    <t>Врезка в действующие внутренние сети трубопроводов отопления и водоснабжения диам 15мм</t>
  </si>
  <si>
    <t>Смена внутренних трубопроводов из стальных труб диаметром до 100мм</t>
  </si>
  <si>
    <t>компл.</t>
  </si>
  <si>
    <t>имущества МКД, выполненных за 2022  года на жилом доме № 12</t>
  </si>
  <si>
    <t>Смена светильников с лампами накаливания на светодиодные</t>
  </si>
  <si>
    <t>100шт.</t>
  </si>
  <si>
    <t>100 соединений</t>
  </si>
  <si>
    <t>100м2</t>
  </si>
  <si>
    <t>Очистка снега с крыш при толщине слоя: свыше 10 ло 20 см(козырьки)</t>
  </si>
  <si>
    <t>Добавлять на каждые следующие 10см увеличения толщины слоя</t>
  </si>
  <si>
    <t>100м2 отремонтированной поверхности</t>
  </si>
  <si>
    <t>Ремонт штукатурки откосов внутри здания по камню и бетону раствором прямолинейным</t>
  </si>
  <si>
    <t>Замена шибера мусоропровода</t>
  </si>
  <si>
    <t>1 т металлоконструкции</t>
  </si>
  <si>
    <t>Прочистка труб внутренней канализации диаметром 50-150мм установкой для прочистки труб простого засора</t>
  </si>
  <si>
    <t>1п.м. труб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</si>
  <si>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диаметр:32мм</t>
  </si>
  <si>
    <t>Прокладка внутренних трубопроводов водоснабжения и отопления из полипропиленовых труб: диам. 32мм</t>
  </si>
  <si>
    <t>Ремонт межпанельных швов без вскрытия кв№№ 241,249,70,106,273,343,321,322,359,244,97</t>
  </si>
  <si>
    <t>Ремонт межпанельных швов со вскрытием и утеплением кв №№241,249,70,106,273,343,321,322,329,244,97,324,306,14</t>
  </si>
  <si>
    <t>Окраска масляными составами ранее окрашенных металлических решеток и оград без рельефа за 2 раза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</si>
  <si>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</si>
  <si>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Смена трубопроводов из полиэтиленовых канализационных труб диам.100мм</t>
  </si>
  <si>
    <t>Установка манометров</t>
  </si>
  <si>
    <t>Ремонт кровли кв №285,286,287,288</t>
  </si>
  <si>
    <t>Рытье ям для установки стоек глубиной 0,4м</t>
  </si>
  <si>
    <t>100ям</t>
  </si>
  <si>
    <t>Установка с бетонированием урн и скамеек</t>
  </si>
  <si>
    <t>Ремонт металлических ограждений мелкий</t>
  </si>
  <si>
    <t>1м2</t>
  </si>
  <si>
    <t>Регулировка дверного доводчика</t>
  </si>
  <si>
    <t>1шт</t>
  </si>
  <si>
    <t>Смена задвижек диам.150мм</t>
  </si>
  <si>
    <t>Смена выключателей</t>
  </si>
  <si>
    <t>Смена внутренних трубопроводов из стальных труб диаметром до 80мм</t>
  </si>
  <si>
    <t>Врезка в действующие внутренние сети трубопроводов отопления и водоснабжения диам 32мм</t>
  </si>
  <si>
    <t>Врезка в действующие внутренние сети трубопроводов отопления и водоснабжения диам 50мм</t>
  </si>
  <si>
    <t>Смена кранов на шаровые краны диам.15,32,40мм</t>
  </si>
  <si>
    <t>Контейнер ТКО-0,4м3 с крышкой</t>
  </si>
  <si>
    <t>Механизированная обработка придомовой территории ПСС</t>
  </si>
  <si>
    <t xml:space="preserve">дом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</si>
</sst>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6"/>
  <sheetViews>
    <sheetView tabSelected="1" topLeftCell="A34" zoomScale="130" zoomScaleNormal="130" workbookViewId="0">
      <selection activeCell="B37" sqref="B37:C38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2.140625" customWidth="1"/>
    <col min="5" max="5" width="16.7109375" customWidth="1"/>
    <col min="7" max="7" width="11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65</v>
      </c>
      <c r="C4" s="3"/>
      <c r="D4" s="3"/>
      <c r="E4" s="3"/>
      <c r="F4" s="1"/>
    </row>
    <row r="5" spans="1:6" ht="15.75" x14ac:dyDescent="0.25">
      <c r="A5" s="4"/>
      <c r="B5" s="3" t="s">
        <v>39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38</v>
      </c>
      <c r="C10" s="8" t="s">
        <v>12</v>
      </c>
      <c r="D10" s="7">
        <f>0.09+0.01+0.04+0.02+0.01+0.01+0.1+0.1</f>
        <v>0.38</v>
      </c>
      <c r="E10" s="7">
        <f>727+545.4+316.2+156.6+630.4+316.2+56.2+161.8+498.4+1658.2+1658.2</f>
        <v>6724.5999999999995</v>
      </c>
      <c r="F10" s="4"/>
    </row>
    <row r="11" spans="1:6" s="1" customFormat="1" ht="31.5" x14ac:dyDescent="0.25">
      <c r="A11" s="7">
        <v>2</v>
      </c>
      <c r="B11" s="8" t="s">
        <v>66</v>
      </c>
      <c r="C11" s="8" t="s">
        <v>67</v>
      </c>
      <c r="D11" s="7">
        <f>0.01+0.01</f>
        <v>0.02</v>
      </c>
      <c r="E11" s="7">
        <f>1512+1624.2</f>
        <v>3136.2</v>
      </c>
      <c r="F11" s="4"/>
    </row>
    <row r="12" spans="1:6" s="1" customFormat="1" ht="15.75" x14ac:dyDescent="0.25">
      <c r="A12" s="7"/>
      <c r="B12" s="8" t="s">
        <v>95</v>
      </c>
      <c r="C12" s="8" t="s">
        <v>67</v>
      </c>
      <c r="D12" s="7">
        <f>0.01</f>
        <v>0.01</v>
      </c>
      <c r="E12" s="7">
        <f>294</f>
        <v>294</v>
      </c>
      <c r="F12" s="4"/>
    </row>
    <row r="13" spans="1:6" s="1" customFormat="1" ht="31.5" x14ac:dyDescent="0.25">
      <c r="A13" s="7">
        <v>3</v>
      </c>
      <c r="B13" s="8" t="s">
        <v>29</v>
      </c>
      <c r="C13" s="8" t="s">
        <v>12</v>
      </c>
      <c r="D13" s="7">
        <f>0.01</f>
        <v>0.01</v>
      </c>
      <c r="E13" s="7">
        <f>5633.8</f>
        <v>5633.8</v>
      </c>
      <c r="F13" s="4"/>
    </row>
    <row r="14" spans="1:6" s="1" customFormat="1" ht="47.25" x14ac:dyDescent="0.25">
      <c r="A14" s="7">
        <v>4</v>
      </c>
      <c r="B14" s="8" t="s">
        <v>22</v>
      </c>
      <c r="C14" s="8" t="s">
        <v>23</v>
      </c>
      <c r="D14" s="7">
        <v>0.9</v>
      </c>
      <c r="E14" s="7">
        <f>6559.8+6559.8+6688.2+6688.2+6688.2+6688.2+7192.6+7192.6+7192.6+7698.6+7698.6+7698.6</f>
        <v>84546</v>
      </c>
      <c r="F14" s="4"/>
    </row>
    <row r="15" spans="1:6" ht="47.25" x14ac:dyDescent="0.25">
      <c r="A15" s="7">
        <v>5</v>
      </c>
      <c r="B15" s="8" t="s">
        <v>13</v>
      </c>
      <c r="C15" s="8" t="s">
        <v>11</v>
      </c>
      <c r="D15" s="7">
        <v>99.9</v>
      </c>
      <c r="E15" s="7">
        <f>689894.2</f>
        <v>689894.2</v>
      </c>
      <c r="F15" s="4"/>
    </row>
    <row r="16" spans="1:6" s="1" customFormat="1" ht="31.5" x14ac:dyDescent="0.25">
      <c r="A16" s="7">
        <v>6</v>
      </c>
      <c r="B16" s="8" t="s">
        <v>14</v>
      </c>
      <c r="C16" s="8" t="s">
        <v>12</v>
      </c>
      <c r="D16" s="7">
        <f>0.1+0.1+0.08+0.07+0.06+0.07</f>
        <v>0.48000000000000004</v>
      </c>
      <c r="E16" s="7">
        <f>6476+4634.2+11587.4+9271.6+8111.4+7204.4+8401.2+5027.6+2514.2</f>
        <v>63227.999999999993</v>
      </c>
      <c r="F16" s="4"/>
    </row>
    <row r="17" spans="1:7" s="1" customFormat="1" ht="78.75" x14ac:dyDescent="0.25">
      <c r="A17" s="7">
        <v>7</v>
      </c>
      <c r="B17" s="8" t="s">
        <v>18</v>
      </c>
      <c r="C17" s="8" t="s">
        <v>19</v>
      </c>
      <c r="D17" s="7">
        <v>3.08</v>
      </c>
      <c r="E17" s="7">
        <f>10653.4+10653.4+10863.6+10863.6+10863.6+10863.6+11684.2+11684.2+11684.2+12506+12506+12506</f>
        <v>137331.79999999999</v>
      </c>
      <c r="F17" s="4"/>
    </row>
    <row r="18" spans="1:7" s="1" customFormat="1" ht="31.5" x14ac:dyDescent="0.25">
      <c r="A18" s="7">
        <v>8</v>
      </c>
      <c r="B18" s="8" t="s">
        <v>20</v>
      </c>
      <c r="C18" s="8" t="s">
        <v>21</v>
      </c>
      <c r="D18" s="7">
        <f>0.12+0.04+0.04+0.05+0.12+0.04+0.18+0.05+0.06</f>
        <v>0.7</v>
      </c>
      <c r="E18" s="7">
        <f>2075.6+1037.2+3173+2116.2+2116.2+2645.6+6828.8+2274.6+10243.8+9743.4+3045.4+3655</f>
        <v>48954.8</v>
      </c>
      <c r="F18" s="4"/>
    </row>
    <row r="19" spans="1:7" s="1" customFormat="1" ht="47.25" x14ac:dyDescent="0.25">
      <c r="A19" s="7">
        <v>9</v>
      </c>
      <c r="B19" s="8" t="s">
        <v>25</v>
      </c>
      <c r="C19" s="8" t="s">
        <v>11</v>
      </c>
      <c r="D19" s="7">
        <f>0.48+0.24+0.12+0.24+0.24+0.24+0.12+0.24</f>
        <v>1.9200000000000002</v>
      </c>
      <c r="E19" s="7">
        <f>5959.4+2980.2+3086+6174.6+3086+6174.8+6571.2+6571+3502.6+3502.6+7003.2</f>
        <v>54611.599999999991</v>
      </c>
      <c r="F19" s="4"/>
    </row>
    <row r="20" spans="1:7" s="1" customFormat="1" ht="47.25" x14ac:dyDescent="0.25">
      <c r="A20" s="7"/>
      <c r="B20" s="8" t="s">
        <v>76</v>
      </c>
      <c r="C20" s="8" t="s">
        <v>77</v>
      </c>
      <c r="D20" s="7">
        <v>2.5</v>
      </c>
      <c r="E20" s="7">
        <f>1990.4</f>
        <v>1990.4</v>
      </c>
      <c r="F20" s="4"/>
    </row>
    <row r="21" spans="1:7" s="1" customFormat="1" ht="15.75" x14ac:dyDescent="0.25">
      <c r="A21" s="7"/>
      <c r="B21" s="8" t="s">
        <v>92</v>
      </c>
      <c r="C21" s="8" t="s">
        <v>93</v>
      </c>
      <c r="D21" s="7">
        <f>1</f>
        <v>1</v>
      </c>
      <c r="E21" s="7">
        <f>1275.6</f>
        <v>1275.5999999999999</v>
      </c>
      <c r="F21" s="4"/>
    </row>
    <row r="22" spans="1:7" s="1" customFormat="1" ht="31.5" x14ac:dyDescent="0.25">
      <c r="A22" s="7">
        <v>10</v>
      </c>
      <c r="B22" s="8" t="s">
        <v>58</v>
      </c>
      <c r="C22" s="8" t="s">
        <v>59</v>
      </c>
      <c r="D22" s="7"/>
      <c r="E22" s="7"/>
      <c r="F22" s="4"/>
    </row>
    <row r="23" spans="1:7" s="1" customFormat="1" ht="31.5" x14ac:dyDescent="0.25">
      <c r="A23" s="7">
        <v>11</v>
      </c>
      <c r="B23" s="8" t="s">
        <v>52</v>
      </c>
      <c r="C23" s="8" t="s">
        <v>27</v>
      </c>
      <c r="D23" s="7">
        <v>0.01</v>
      </c>
      <c r="E23" s="7">
        <f>449.6</f>
        <v>449.6</v>
      </c>
      <c r="F23" s="4"/>
    </row>
    <row r="24" spans="1:7" s="1" customFormat="1" ht="31.5" x14ac:dyDescent="0.25">
      <c r="A24" s="7">
        <v>12</v>
      </c>
      <c r="B24" s="8" t="s">
        <v>26</v>
      </c>
      <c r="C24" s="8" t="s">
        <v>27</v>
      </c>
      <c r="D24" s="7">
        <f>0.03+0.01+0.01</f>
        <v>0.05</v>
      </c>
      <c r="E24" s="7">
        <f>3121.4+1122.2+1177</f>
        <v>5420.6</v>
      </c>
      <c r="F24" s="4"/>
    </row>
    <row r="25" spans="1:7" ht="15.75" x14ac:dyDescent="0.25">
      <c r="A25" s="7"/>
      <c r="B25" s="8"/>
      <c r="C25" s="8"/>
      <c r="D25" s="7"/>
      <c r="E25" s="9">
        <f>SUM(E10:E24)</f>
        <v>1103491.2000000002</v>
      </c>
      <c r="F25" s="4"/>
      <c r="G25" s="13">
        <f>26424.8+31373.4+30273.2+37586.6+722550.2+36790.2+32966.2+28844.8+44254.6+41429.2</f>
        <v>1032493.1999999998</v>
      </c>
    </row>
    <row r="26" spans="1:7" ht="15.75" x14ac:dyDescent="0.25">
      <c r="A26" s="7"/>
      <c r="B26" s="12" t="s">
        <v>10</v>
      </c>
      <c r="C26" s="8"/>
      <c r="D26" s="7"/>
      <c r="E26" s="7"/>
      <c r="F26" s="4"/>
    </row>
    <row r="27" spans="1:7" s="1" customFormat="1" ht="15.75" x14ac:dyDescent="0.25">
      <c r="A27" s="7">
        <v>1</v>
      </c>
      <c r="B27" s="8" t="s">
        <v>85</v>
      </c>
      <c r="C27" s="8" t="s">
        <v>64</v>
      </c>
      <c r="D27" s="7">
        <f>8</f>
        <v>8</v>
      </c>
      <c r="E27" s="7">
        <f>9097</f>
        <v>9097</v>
      </c>
      <c r="F27" s="4"/>
    </row>
    <row r="28" spans="1:7" s="1" customFormat="1" ht="78.75" x14ac:dyDescent="0.25">
      <c r="A28" s="7">
        <v>2</v>
      </c>
      <c r="B28" s="8" t="s">
        <v>83</v>
      </c>
      <c r="C28" s="8" t="s">
        <v>68</v>
      </c>
      <c r="D28" s="7">
        <f>0.04+0.04</f>
        <v>0.08</v>
      </c>
      <c r="E28" s="7">
        <f>116.4+116.4</f>
        <v>232.8</v>
      </c>
      <c r="F28" s="4"/>
    </row>
    <row r="29" spans="1:7" s="1" customFormat="1" ht="47.25" x14ac:dyDescent="0.25">
      <c r="A29" s="7">
        <v>3</v>
      </c>
      <c r="B29" s="8" t="s">
        <v>53</v>
      </c>
      <c r="C29" s="8" t="s">
        <v>31</v>
      </c>
      <c r="D29" s="7">
        <f>0.06+0.06</f>
        <v>0.12</v>
      </c>
      <c r="E29" s="7">
        <f>1960.8+1960.8</f>
        <v>3921.6</v>
      </c>
      <c r="F29" s="4"/>
    </row>
    <row r="30" spans="1:7" s="1" customFormat="1" ht="47.25" x14ac:dyDescent="0.25">
      <c r="A30" s="7">
        <v>4</v>
      </c>
      <c r="B30" s="8" t="s">
        <v>62</v>
      </c>
      <c r="C30" s="8" t="s">
        <v>41</v>
      </c>
      <c r="D30" s="7">
        <f>5+2+2</f>
        <v>9</v>
      </c>
      <c r="E30" s="7">
        <f>25709.8+5247.6+5247.6+10494</f>
        <v>46699</v>
      </c>
      <c r="F30" s="4"/>
    </row>
    <row r="31" spans="1:7" s="1" customFormat="1" ht="47.25" x14ac:dyDescent="0.25">
      <c r="A31" s="7">
        <v>5</v>
      </c>
      <c r="B31" s="8" t="s">
        <v>97</v>
      </c>
      <c r="C31" s="8" t="s">
        <v>41</v>
      </c>
      <c r="D31" s="7">
        <f>1</f>
        <v>1</v>
      </c>
      <c r="E31" s="7">
        <f>6473.6</f>
        <v>6473.6</v>
      </c>
      <c r="F31" s="4"/>
    </row>
    <row r="32" spans="1:7" s="1" customFormat="1" ht="47.25" x14ac:dyDescent="0.25">
      <c r="A32" s="7">
        <v>6</v>
      </c>
      <c r="B32" s="8" t="s">
        <v>98</v>
      </c>
      <c r="C32" s="8" t="s">
        <v>41</v>
      </c>
      <c r="D32" s="7">
        <f>1</f>
        <v>1</v>
      </c>
      <c r="E32" s="7">
        <f>11733.8</f>
        <v>11733.8</v>
      </c>
      <c r="F32" s="4"/>
    </row>
    <row r="33" spans="1:6" s="1" customFormat="1" ht="47.25" x14ac:dyDescent="0.25">
      <c r="A33" s="7">
        <v>7</v>
      </c>
      <c r="B33" s="8" t="s">
        <v>61</v>
      </c>
      <c r="C33" s="8" t="s">
        <v>11</v>
      </c>
      <c r="D33" s="7">
        <f>0.04</f>
        <v>0.04</v>
      </c>
      <c r="E33" s="7">
        <f>5667.8</f>
        <v>5667.8</v>
      </c>
      <c r="F33" s="4"/>
    </row>
    <row r="34" spans="1:6" s="1" customFormat="1" ht="47.25" x14ac:dyDescent="0.25">
      <c r="A34" s="7">
        <v>8</v>
      </c>
      <c r="B34" s="8" t="s">
        <v>96</v>
      </c>
      <c r="C34" s="8" t="s">
        <v>11</v>
      </c>
      <c r="D34" s="7">
        <f>0.69</f>
        <v>0.69</v>
      </c>
      <c r="E34" s="7">
        <f>191716.2</f>
        <v>191716.2</v>
      </c>
      <c r="F34" s="4"/>
    </row>
    <row r="35" spans="1:6" s="1" customFormat="1" ht="47.25" x14ac:dyDescent="0.25">
      <c r="A35" s="7">
        <v>9</v>
      </c>
      <c r="B35" s="8" t="s">
        <v>63</v>
      </c>
      <c r="C35" s="8" t="s">
        <v>11</v>
      </c>
      <c r="D35" s="7">
        <f>0.01+0.13</f>
        <v>0.14000000000000001</v>
      </c>
      <c r="E35" s="7">
        <f>3557.4+46242.2</f>
        <v>49799.6</v>
      </c>
      <c r="F35" s="4"/>
    </row>
    <row r="36" spans="1:6" s="1" customFormat="1" ht="15.75" x14ac:dyDescent="0.25">
      <c r="A36" s="7">
        <v>10</v>
      </c>
      <c r="B36" s="8" t="s">
        <v>94</v>
      </c>
      <c r="C36" s="8" t="s">
        <v>12</v>
      </c>
      <c r="D36" s="7">
        <v>0.01</v>
      </c>
      <c r="E36" s="7">
        <f>75040.4</f>
        <v>75040.399999999994</v>
      </c>
      <c r="F36" s="4"/>
    </row>
    <row r="37" spans="1:6" s="1" customFormat="1" ht="78.75" x14ac:dyDescent="0.25">
      <c r="A37" s="7">
        <v>11</v>
      </c>
      <c r="B37" s="8" t="s">
        <v>78</v>
      </c>
      <c r="C37" s="8" t="s">
        <v>68</v>
      </c>
      <c r="D37" s="7">
        <f>0.03</f>
        <v>0.03</v>
      </c>
      <c r="E37" s="7">
        <f>99</f>
        <v>99</v>
      </c>
      <c r="F37" s="4"/>
    </row>
    <row r="38" spans="1:6" s="1" customFormat="1" ht="47.25" x14ac:dyDescent="0.25">
      <c r="A38" s="7">
        <v>12</v>
      </c>
      <c r="B38" s="8" t="s">
        <v>79</v>
      </c>
      <c r="C38" s="8" t="s">
        <v>31</v>
      </c>
      <c r="D38" s="7">
        <f>0.025</f>
        <v>2.5000000000000001E-2</v>
      </c>
      <c r="E38" s="7">
        <f>362</f>
        <v>362</v>
      </c>
      <c r="F38" s="4"/>
    </row>
    <row r="39" spans="1:6" s="1" customFormat="1" ht="47.25" x14ac:dyDescent="0.25">
      <c r="A39" s="7">
        <v>13</v>
      </c>
      <c r="B39" s="8" t="s">
        <v>43</v>
      </c>
      <c r="C39" s="8" t="s">
        <v>11</v>
      </c>
      <c r="D39" s="7">
        <f>0.06+0.06</f>
        <v>0.12</v>
      </c>
      <c r="E39" s="7">
        <f>1584.8+1584.8</f>
        <v>3169.6</v>
      </c>
      <c r="F39" s="4"/>
    </row>
    <row r="40" spans="1:6" s="1" customFormat="1" ht="31.5" x14ac:dyDescent="0.25">
      <c r="A40" s="7">
        <v>14</v>
      </c>
      <c r="B40" s="8" t="s">
        <v>99</v>
      </c>
      <c r="C40" s="8" t="s">
        <v>12</v>
      </c>
      <c r="D40" s="7">
        <f>0.01+0.01+0.02</f>
        <v>0.04</v>
      </c>
      <c r="E40" s="7">
        <f>1018.6+1018.6+10973.6</f>
        <v>13010.800000000001</v>
      </c>
      <c r="F40" s="4"/>
    </row>
    <row r="41" spans="1:6" s="17" customFormat="1" ht="94.5" x14ac:dyDescent="0.25">
      <c r="A41" s="7">
        <v>15</v>
      </c>
      <c r="B41" s="15" t="s">
        <v>60</v>
      </c>
      <c r="C41" s="15" t="s">
        <v>28</v>
      </c>
      <c r="D41" s="14">
        <f>0.15</f>
        <v>0.15</v>
      </c>
      <c r="E41" s="14">
        <f>11068.4</f>
        <v>11068.4</v>
      </c>
      <c r="F41" s="16"/>
    </row>
    <row r="42" spans="1:6" s="17" customFormat="1" ht="94.5" x14ac:dyDescent="0.25">
      <c r="A42" s="7">
        <v>16</v>
      </c>
      <c r="B42" s="15" t="s">
        <v>84</v>
      </c>
      <c r="C42" s="15" t="s">
        <v>28</v>
      </c>
      <c r="D42" s="14">
        <f>0.025+0.025</f>
        <v>0.05</v>
      </c>
      <c r="E42" s="14">
        <f>3406.4+2969</f>
        <v>6375.4</v>
      </c>
      <c r="F42" s="16"/>
    </row>
    <row r="43" spans="1:6" s="1" customFormat="1" ht="31.5" x14ac:dyDescent="0.25">
      <c r="A43" s="7">
        <v>17</v>
      </c>
      <c r="B43" s="8" t="s">
        <v>48</v>
      </c>
      <c r="C43" s="8" t="s">
        <v>49</v>
      </c>
      <c r="D43" s="7">
        <f>0.08</f>
        <v>0.08</v>
      </c>
      <c r="E43" s="7">
        <f>8463.6</f>
        <v>8463.6</v>
      </c>
      <c r="F43" s="4"/>
    </row>
    <row r="44" spans="1:6" s="1" customFormat="1" ht="63" x14ac:dyDescent="0.25">
      <c r="A44" s="7">
        <v>18</v>
      </c>
      <c r="B44" s="8" t="s">
        <v>50</v>
      </c>
      <c r="C44" s="8" t="s">
        <v>51</v>
      </c>
      <c r="D44" s="7">
        <f>0.1936</f>
        <v>0.19359999999999999</v>
      </c>
      <c r="E44" s="7">
        <f>7256</f>
        <v>7256</v>
      </c>
      <c r="F44" s="4"/>
    </row>
    <row r="45" spans="1:6" s="1" customFormat="1" ht="47.25" x14ac:dyDescent="0.25">
      <c r="A45" s="7">
        <v>19</v>
      </c>
      <c r="B45" s="8" t="s">
        <v>44</v>
      </c>
      <c r="C45" s="8" t="s">
        <v>45</v>
      </c>
      <c r="D45" s="7">
        <f>0.1936</f>
        <v>0.19359999999999999</v>
      </c>
      <c r="E45" s="7">
        <f>214678.2</f>
        <v>214678.2</v>
      </c>
      <c r="F45" s="4"/>
    </row>
    <row r="46" spans="1:6" s="1" customFormat="1" ht="31.5" x14ac:dyDescent="0.25">
      <c r="A46" s="7">
        <v>20</v>
      </c>
      <c r="B46" s="8" t="s">
        <v>46</v>
      </c>
      <c r="C46" s="8" t="s">
        <v>47</v>
      </c>
      <c r="D46" s="7">
        <f>0.25</f>
        <v>0.25</v>
      </c>
      <c r="E46" s="7">
        <f>17433.6</f>
        <v>17433.599999999999</v>
      </c>
      <c r="F46" s="4"/>
    </row>
    <row r="47" spans="1:6" s="1" customFormat="1" ht="63" x14ac:dyDescent="0.25">
      <c r="A47" s="7">
        <v>21</v>
      </c>
      <c r="B47" s="8" t="s">
        <v>81</v>
      </c>
      <c r="C47" s="8" t="s">
        <v>40</v>
      </c>
      <c r="D47" s="7">
        <f>107+240</f>
        <v>347</v>
      </c>
      <c r="E47" s="7">
        <f>73830+165600</f>
        <v>239430</v>
      </c>
      <c r="F47" s="4"/>
    </row>
    <row r="48" spans="1:6" s="1" customFormat="1" ht="47.25" x14ac:dyDescent="0.25">
      <c r="A48" s="7">
        <v>22</v>
      </c>
      <c r="B48" s="8" t="s">
        <v>80</v>
      </c>
      <c r="C48" s="8" t="s">
        <v>40</v>
      </c>
      <c r="D48" s="7">
        <f>41+24</f>
        <v>65</v>
      </c>
      <c r="E48" s="7">
        <f>17589+10296</f>
        <v>27885</v>
      </c>
      <c r="F48" s="4"/>
    </row>
    <row r="49" spans="1:6" s="1" customFormat="1" ht="31.5" x14ac:dyDescent="0.25">
      <c r="A49" s="7">
        <v>23</v>
      </c>
      <c r="B49" s="8" t="s">
        <v>29</v>
      </c>
      <c r="C49" s="8" t="s">
        <v>12</v>
      </c>
      <c r="D49" s="7">
        <v>0.01</v>
      </c>
      <c r="E49" s="7">
        <v>4196.8</v>
      </c>
      <c r="F49" s="4"/>
    </row>
    <row r="50" spans="1:6" s="1" customFormat="1" ht="94.5" x14ac:dyDescent="0.25">
      <c r="A50" s="7">
        <v>24</v>
      </c>
      <c r="B50" s="8" t="s">
        <v>73</v>
      </c>
      <c r="C50" s="8" t="s">
        <v>72</v>
      </c>
      <c r="D50" s="7">
        <v>0.2084</v>
      </c>
      <c r="E50" s="7">
        <v>63712.2</v>
      </c>
      <c r="F50" s="4"/>
    </row>
    <row r="51" spans="1:6" s="1" customFormat="1" ht="78.75" x14ac:dyDescent="0.25">
      <c r="A51" s="7">
        <v>25</v>
      </c>
      <c r="B51" s="8" t="s">
        <v>82</v>
      </c>
      <c r="C51" s="8" t="s">
        <v>42</v>
      </c>
      <c r="D51" s="7">
        <f>0.46</f>
        <v>0.46</v>
      </c>
      <c r="E51" s="7">
        <f>28083.2</f>
        <v>28083.200000000001</v>
      </c>
      <c r="F51" s="4"/>
    </row>
    <row r="52" spans="1:6" s="1" customFormat="1" ht="15.75" x14ac:dyDescent="0.25">
      <c r="A52" s="7">
        <v>26</v>
      </c>
      <c r="B52" s="8" t="s">
        <v>90</v>
      </c>
      <c r="C52" s="8" t="s">
        <v>91</v>
      </c>
      <c r="D52" s="7">
        <f>2+2</f>
        <v>4</v>
      </c>
      <c r="E52" s="7">
        <f>3392.6+3617.2</f>
        <v>7009.7999999999993</v>
      </c>
      <c r="F52" s="4"/>
    </row>
    <row r="53" spans="1:6" s="1" customFormat="1" ht="31.5" x14ac:dyDescent="0.25">
      <c r="A53" s="7">
        <v>27</v>
      </c>
      <c r="B53" s="8" t="s">
        <v>86</v>
      </c>
      <c r="C53" s="8" t="s">
        <v>59</v>
      </c>
      <c r="D53" s="7">
        <f>388.47</f>
        <v>388.47</v>
      </c>
      <c r="E53" s="7">
        <f>446741</f>
        <v>446741</v>
      </c>
      <c r="F53" s="4"/>
    </row>
    <row r="54" spans="1:6" s="1" customFormat="1" ht="15.75" x14ac:dyDescent="0.25">
      <c r="A54" s="7">
        <v>28</v>
      </c>
      <c r="B54" s="8" t="s">
        <v>87</v>
      </c>
      <c r="C54" s="8" t="s">
        <v>88</v>
      </c>
      <c r="D54" s="7">
        <f>0.1</f>
        <v>0.1</v>
      </c>
      <c r="E54" s="7">
        <f>17930.8</f>
        <v>17930.8</v>
      </c>
      <c r="F54" s="4"/>
    </row>
    <row r="55" spans="1:6" s="1" customFormat="1" ht="15.75" x14ac:dyDescent="0.25">
      <c r="A55" s="7">
        <v>29</v>
      </c>
      <c r="B55" s="8" t="s">
        <v>89</v>
      </c>
      <c r="C55" s="8" t="s">
        <v>24</v>
      </c>
      <c r="D55" s="7">
        <f>4</f>
        <v>4</v>
      </c>
      <c r="E55" s="7">
        <f>17344.2</f>
        <v>17344.2</v>
      </c>
      <c r="F55" s="4"/>
    </row>
    <row r="56" spans="1:6" s="1" customFormat="1" ht="31.5" x14ac:dyDescent="0.25">
      <c r="A56" s="7">
        <v>30</v>
      </c>
      <c r="B56" s="8" t="s">
        <v>70</v>
      </c>
      <c r="C56" s="8" t="s">
        <v>69</v>
      </c>
      <c r="D56" s="7">
        <v>0.3</v>
      </c>
      <c r="E56" s="7">
        <v>781.4</v>
      </c>
      <c r="F56" s="4"/>
    </row>
    <row r="57" spans="1:6" s="1" customFormat="1" ht="31.5" x14ac:dyDescent="0.25">
      <c r="A57" s="7">
        <v>31</v>
      </c>
      <c r="B57" s="8" t="s">
        <v>71</v>
      </c>
      <c r="C57" s="8" t="s">
        <v>69</v>
      </c>
      <c r="D57" s="7">
        <v>0.6</v>
      </c>
      <c r="E57" s="7">
        <v>205.4</v>
      </c>
      <c r="F57" s="4"/>
    </row>
    <row r="58" spans="1:6" s="1" customFormat="1" ht="15.75" x14ac:dyDescent="0.25">
      <c r="A58" s="7">
        <v>32</v>
      </c>
      <c r="B58" s="8" t="s">
        <v>100</v>
      </c>
      <c r="C58" s="8" t="s">
        <v>24</v>
      </c>
      <c r="D58" s="7">
        <f>2</f>
        <v>2</v>
      </c>
      <c r="E58" s="7">
        <f>21934</f>
        <v>21934</v>
      </c>
      <c r="F58" s="4"/>
    </row>
    <row r="59" spans="1:6" s="1" customFormat="1" ht="63" x14ac:dyDescent="0.25">
      <c r="A59" s="7">
        <v>33</v>
      </c>
      <c r="B59" s="8" t="s">
        <v>74</v>
      </c>
      <c r="C59" s="8" t="s">
        <v>75</v>
      </c>
      <c r="D59" s="7">
        <v>1.5699999999999999E-2</v>
      </c>
      <c r="E59" s="7">
        <v>2343.8000000000002</v>
      </c>
      <c r="F59" s="4"/>
    </row>
    <row r="60" spans="1:6" s="1" customFormat="1" ht="31.5" x14ac:dyDescent="0.25">
      <c r="A60" s="7">
        <v>34</v>
      </c>
      <c r="B60" s="8" t="s">
        <v>101</v>
      </c>
      <c r="C60" s="8" t="s">
        <v>102</v>
      </c>
      <c r="D60" s="7">
        <f>1</f>
        <v>1</v>
      </c>
      <c r="E60" s="7">
        <f>800</f>
        <v>800</v>
      </c>
      <c r="F60" s="4"/>
    </row>
    <row r="61" spans="1:6" s="1" customFormat="1" ht="31.5" x14ac:dyDescent="0.25">
      <c r="A61" s="7">
        <v>35</v>
      </c>
      <c r="B61" s="8" t="s">
        <v>56</v>
      </c>
      <c r="C61" s="8" t="s">
        <v>57</v>
      </c>
      <c r="D61" s="7">
        <v>180</v>
      </c>
      <c r="E61" s="19">
        <v>117000</v>
      </c>
      <c r="F61" s="4"/>
    </row>
    <row r="62" spans="1:6" s="1" customFormat="1" ht="31.5" x14ac:dyDescent="0.25">
      <c r="A62" s="7">
        <v>36</v>
      </c>
      <c r="B62" s="8" t="s">
        <v>54</v>
      </c>
      <c r="C62" s="8" t="s">
        <v>55</v>
      </c>
      <c r="D62" s="7">
        <f>1680+45+60+840+110</f>
        <v>2735</v>
      </c>
      <c r="E62" s="7">
        <f>55995+2250+2500+42000+4584</f>
        <v>107329</v>
      </c>
      <c r="F62" s="4"/>
    </row>
    <row r="63" spans="1:6" s="1" customFormat="1" ht="15.75" x14ac:dyDescent="0.25">
      <c r="A63" s="7"/>
      <c r="B63" s="8"/>
      <c r="C63" s="8"/>
      <c r="D63" s="7"/>
      <c r="E63" s="9">
        <f>SUM(E27:E62)</f>
        <v>1785024.9999999998</v>
      </c>
      <c r="F63" s="4"/>
    </row>
    <row r="64" spans="1:6" ht="15.75" x14ac:dyDescent="0.25">
      <c r="A64" s="7"/>
      <c r="B64" s="8" t="s">
        <v>8</v>
      </c>
      <c r="C64" s="7"/>
      <c r="D64" s="7"/>
      <c r="E64" s="9">
        <f>E25+E63</f>
        <v>2888516.2</v>
      </c>
      <c r="F64" s="4"/>
    </row>
    <row r="65" spans="1:10" ht="15.75" x14ac:dyDescent="0.25">
      <c r="A65" s="7"/>
      <c r="B65" s="8"/>
      <c r="C65" s="7"/>
      <c r="D65" s="7"/>
      <c r="E65" s="7"/>
      <c r="F65" s="4"/>
    </row>
    <row r="66" spans="1:10" ht="15.75" x14ac:dyDescent="0.25">
      <c r="A66" s="10"/>
      <c r="B66" s="10"/>
      <c r="C66" s="10"/>
      <c r="D66" s="10"/>
      <c r="E66" s="10"/>
      <c r="F66" s="4"/>
      <c r="J66" t="s">
        <v>32</v>
      </c>
    </row>
    <row r="67" spans="1:10" ht="15.75" x14ac:dyDescent="0.25">
      <c r="A67" s="10"/>
      <c r="B67" s="10" t="s">
        <v>15</v>
      </c>
      <c r="C67" s="10" t="s">
        <v>34</v>
      </c>
      <c r="D67" s="10"/>
      <c r="E67" s="10"/>
      <c r="F67" s="1"/>
    </row>
    <row r="68" spans="1:10" x14ac:dyDescent="0.25">
      <c r="A68" s="2"/>
      <c r="B68" s="2"/>
      <c r="C68" s="2"/>
      <c r="D68" s="2"/>
      <c r="E68" s="2"/>
      <c r="F68" s="1"/>
    </row>
    <row r="69" spans="1:10" x14ac:dyDescent="0.25">
      <c r="A69" s="2"/>
      <c r="B69" s="2" t="s">
        <v>16</v>
      </c>
      <c r="C69" s="2"/>
      <c r="D69" s="18"/>
      <c r="E69" s="2"/>
      <c r="F69" s="13"/>
      <c r="G69" s="13"/>
    </row>
    <row r="70" spans="1:10" x14ac:dyDescent="0.25">
      <c r="A70" s="2"/>
      <c r="B70" s="2"/>
      <c r="C70" s="2"/>
      <c r="D70" s="2"/>
      <c r="E70" s="2"/>
      <c r="F70" s="13"/>
      <c r="G70" s="13"/>
    </row>
    <row r="71" spans="1:10" x14ac:dyDescent="0.25">
      <c r="A71" s="2"/>
      <c r="B71" s="2"/>
      <c r="C71" s="2" t="s">
        <v>35</v>
      </c>
      <c r="D71" s="13">
        <f>26424.8+31373.4+30273.2+37586.6+722550.2+36790.2+32966.2+28844.8+44254.6+41429.2+35962.8+35035.2</f>
        <v>1103491.1999999997</v>
      </c>
      <c r="E71" s="18"/>
      <c r="F71" s="13"/>
      <c r="G71" s="13"/>
    </row>
    <row r="72" spans="1:10" x14ac:dyDescent="0.25">
      <c r="A72" s="2"/>
      <c r="B72" s="2"/>
      <c r="C72" s="2" t="s">
        <v>36</v>
      </c>
      <c r="D72" s="2">
        <f>50813.8+170552.6+48578+0+16163+306353.2+23836+491113+3392.6+82215+294623.4+297384.4</f>
        <v>1785025</v>
      </c>
      <c r="E72" s="2"/>
    </row>
    <row r="73" spans="1:10" x14ac:dyDescent="0.25">
      <c r="A73" s="2"/>
      <c r="B73" s="2"/>
      <c r="C73" s="2"/>
      <c r="D73" s="18">
        <f>D71+D72</f>
        <v>2888516.1999999997</v>
      </c>
      <c r="E73" s="18"/>
      <c r="F73" t="s">
        <v>30</v>
      </c>
    </row>
    <row r="74" spans="1:10" x14ac:dyDescent="0.25">
      <c r="A74" s="2"/>
      <c r="B74" s="2"/>
      <c r="C74" s="2" t="s">
        <v>37</v>
      </c>
      <c r="D74" s="18">
        <f>77238.6+201926+78851.2+37586.6+738713.2+343143.4+56802.2+519957.8+47647.2+123644.2+330586.2+332419.6</f>
        <v>2888516.2000000007</v>
      </c>
      <c r="E74" s="2"/>
      <c r="F74" s="13"/>
    </row>
    <row r="75" spans="1:10" x14ac:dyDescent="0.25">
      <c r="A75" s="2"/>
      <c r="B75" s="2"/>
      <c r="C75" s="2"/>
      <c r="D75" s="2"/>
      <c r="E75" s="2"/>
    </row>
    <row r="76" spans="1:10" x14ac:dyDescent="0.25">
      <c r="A76" s="2"/>
      <c r="B76" s="2"/>
      <c r="C76" s="2"/>
      <c r="D76" s="2"/>
      <c r="E76" s="2"/>
    </row>
    <row r="1104" spans="7:7" x14ac:dyDescent="0.25">
      <c r="G1104" t="s">
        <v>33</v>
      </c>
    </row>
    <row r="1106" spans="7:7" x14ac:dyDescent="0.25">
      <c r="G1106" t="s">
        <v>30</v>
      </c>
    </row>
  </sheetData>
  <pageMargins left="0.78740157480314965" right="0.31496062992125984" top="0.35433070866141736" bottom="0.15748031496062992" header="0.31496062992125984" footer="0.31496062992125984"/>
  <pageSetup paperSize="9" scale="64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2023-01-20T11:00:32Z</cp:lastPrinted>
  <dcterms:created xsi:type="dcterms:W3CDTF">2016-09-29T06:37:31Z</dcterms:created>
  <dcterms:modified xsi:type="dcterms:W3CDTF">2023-01-24T07:37:10Z</dcterms:modified>
</cp:coreProperties>
</file>