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справка по выполн раб за 2022 год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E51" i="1" l="1"/>
  <c r="D51" i="1"/>
  <c r="E34" i="1"/>
  <c r="D34" i="1"/>
  <c r="E14" i="1"/>
  <c r="E11" i="1"/>
  <c r="D11" i="1"/>
  <c r="E20" i="1"/>
  <c r="D20" i="1"/>
  <c r="E19" i="1"/>
  <c r="D66" i="1"/>
  <c r="D64" i="1"/>
  <c r="D63" i="1"/>
  <c r="E21" i="1" l="1"/>
  <c r="E37" i="1" l="1"/>
  <c r="D37" i="1"/>
  <c r="E53" i="1"/>
  <c r="D53" i="1"/>
  <c r="E50" i="1"/>
  <c r="D50" i="1"/>
  <c r="E47" i="1"/>
  <c r="D47" i="1"/>
  <c r="E10" i="1"/>
  <c r="D10" i="1"/>
  <c r="E39" i="1" l="1"/>
  <c r="D39" i="1"/>
  <c r="E26" i="1"/>
  <c r="D26" i="1"/>
  <c r="E30" i="1"/>
  <c r="D30" i="1"/>
  <c r="E29" i="1"/>
  <c r="D29" i="1"/>
  <c r="E28" i="1"/>
  <c r="D28" i="1"/>
  <c r="E9" i="1"/>
  <c r="D9" i="1"/>
  <c r="E44" i="1" l="1"/>
  <c r="D44" i="1"/>
  <c r="E25" i="1"/>
  <c r="D25" i="1"/>
  <c r="E13" i="1" l="1"/>
  <c r="E27" i="1"/>
  <c r="D27" i="1"/>
  <c r="E33" i="1"/>
  <c r="D33" i="1"/>
  <c r="E32" i="1"/>
  <c r="D32" i="1"/>
  <c r="G33" i="1" l="1"/>
  <c r="D13" i="1"/>
  <c r="E31" i="1" l="1"/>
  <c r="D31" i="1"/>
  <c r="D21" i="1" l="1"/>
  <c r="E22" i="1"/>
  <c r="D22" i="1"/>
  <c r="E18" i="1"/>
  <c r="D18" i="1"/>
  <c r="E17" i="1"/>
  <c r="E16" i="1"/>
  <c r="D16" i="1"/>
  <c r="E15" i="1"/>
  <c r="D15" i="1"/>
  <c r="E23" i="1" l="1"/>
  <c r="E43" i="1"/>
  <c r="E41" i="1"/>
  <c r="D41" i="1"/>
  <c r="E40" i="1"/>
  <c r="D40" i="1"/>
  <c r="E42" i="1"/>
  <c r="D42" i="1"/>
  <c r="E46" i="1"/>
  <c r="E45" i="1"/>
  <c r="E38" i="1"/>
  <c r="D38" i="1"/>
  <c r="E54" i="1" l="1"/>
  <c r="E55" i="1" s="1"/>
  <c r="D65" i="1"/>
</calcChain>
</file>

<file path=xl/sharedStrings.xml><?xml version="1.0" encoding="utf-8"?>
<sst xmlns="http://schemas.openxmlformats.org/spreadsheetml/2006/main" count="109" uniqueCount="87">
  <si>
    <t xml:space="preserve">                                                                           Отчет</t>
  </si>
  <si>
    <t>№№</t>
  </si>
  <si>
    <t>Наименование работ по МКД</t>
  </si>
  <si>
    <t>Ед.изм.</t>
  </si>
  <si>
    <t>Объем</t>
  </si>
  <si>
    <t>Стоимость работ,</t>
  </si>
  <si>
    <t>п/п</t>
  </si>
  <si>
    <t>руб. без НДС</t>
  </si>
  <si>
    <r>
      <rPr>
        <b/>
        <sz val="12"/>
        <color theme="1"/>
        <rFont val="Calibri"/>
        <family val="2"/>
        <charset val="204"/>
        <scheme val="minor"/>
      </rPr>
      <t>Итого</t>
    </r>
    <r>
      <rPr>
        <sz val="12"/>
        <color theme="1"/>
        <rFont val="Calibri"/>
        <family val="2"/>
        <charset val="204"/>
        <scheme val="minor"/>
      </rPr>
      <t>:</t>
    </r>
  </si>
  <si>
    <t>Техническое обслуживание</t>
  </si>
  <si>
    <t xml:space="preserve">Текущий ремонт </t>
  </si>
  <si>
    <t>100м трубопровода</t>
  </si>
  <si>
    <t>100шт</t>
  </si>
  <si>
    <t>Директор</t>
  </si>
  <si>
    <t>Исп.Захарова О.Е.</t>
  </si>
  <si>
    <t>Установка манометров</t>
  </si>
  <si>
    <t>1 компл.</t>
  </si>
  <si>
    <t xml:space="preserve"> работ по текущему ремонту и техническому обслуживанию  общего </t>
  </si>
  <si>
    <t>Осмотр системы центрального отопления</t>
  </si>
  <si>
    <t>1000м2 осматриваемых помещений</t>
  </si>
  <si>
    <t>Осмотр водопровода, канализации</t>
  </si>
  <si>
    <t>100квартир</t>
  </si>
  <si>
    <t>Осмотр линий электрических сетей,арматуры и электрооборудования на л/клетках</t>
  </si>
  <si>
    <t>100 лестничных клеток</t>
  </si>
  <si>
    <t>Смена светильников со светодиодными лампами</t>
  </si>
  <si>
    <t>100шт приб.</t>
  </si>
  <si>
    <t>,</t>
  </si>
  <si>
    <t xml:space="preserve"> </t>
  </si>
  <si>
    <t>,,</t>
  </si>
  <si>
    <t>Рыжов А.А.</t>
  </si>
  <si>
    <t>т/обсл</t>
  </si>
  <si>
    <t>т/рем</t>
  </si>
  <si>
    <t>по акту</t>
  </si>
  <si>
    <t>Смена ламп светодиодных</t>
  </si>
  <si>
    <t xml:space="preserve">                                        по Пролетарскому проспекту</t>
  </si>
  <si>
    <t>шт</t>
  </si>
  <si>
    <t>Ремонт силового предохранительного шкафа</t>
  </si>
  <si>
    <t>Механизированная уборка снега на придомовой территории</t>
  </si>
  <si>
    <t>мин</t>
  </si>
  <si>
    <t>Услуги экскаватор-погрузчика,самосвала, погрузка и вывоз снега с придомовой территории</t>
  </si>
  <si>
    <t>м3</t>
  </si>
  <si>
    <t>Смена трубопроводов из полиэтиленовых канализационных труб диам. до 100мм</t>
  </si>
  <si>
    <t>100м трубопровода с фасонными частями</t>
  </si>
  <si>
    <t>Гидравлическое испытание трубопроводов систем отопления,водопровода и горячего водоснабжения диаметром до 50мм</t>
  </si>
  <si>
    <t>Гидравлическое испытание трубопроводов систем отопления,водопровода и горячего водоснабжения диаметром до 100мм</t>
  </si>
  <si>
    <t>Гидравлическое испытание трубопроводов систем отопления,водопровода и горячего водоснабжения диаметром до 200мм</t>
  </si>
  <si>
    <t>Смена внутренних трубопроводов из стальных труб диам до 25мм</t>
  </si>
  <si>
    <t>Смена дверных приборов :замки навесные</t>
  </si>
  <si>
    <t>имущества МКД, выполненных за 2022  года на жилом доме № 9 корпус 3</t>
  </si>
  <si>
    <t>Прочистка фильтров диаметром 50мм</t>
  </si>
  <si>
    <t>10фильтров</t>
  </si>
  <si>
    <t>Смена ламп накаливания</t>
  </si>
  <si>
    <t>100шт.</t>
  </si>
  <si>
    <t>100м</t>
  </si>
  <si>
    <t>1шт.</t>
  </si>
  <si>
    <t>100м2 окрашиваемой поверхности</t>
  </si>
  <si>
    <t>Демонтаж-монтаж двери металлической тамбурной</t>
  </si>
  <si>
    <t>Снятие дверных полотен</t>
  </si>
  <si>
    <t>100м2 дверных полотен</t>
  </si>
  <si>
    <t>Демонтаж дверных коробок в каменныхстенах с отбивкой штукатурки в откосах</t>
  </si>
  <si>
    <t>100 коробок</t>
  </si>
  <si>
    <t>Смена люминесцентных</t>
  </si>
  <si>
    <t>Ремонт оконных рам</t>
  </si>
  <si>
    <t>100компл.</t>
  </si>
  <si>
    <t>Ремонт групповых щитков на лестничной клетке без ремонта автоматов</t>
  </si>
  <si>
    <t>Окраска масляными составами ранее окрашенных поверхностей труб стальных за 2 раза(столбики)</t>
  </si>
  <si>
    <t xml:space="preserve">Установка решеток на приямки </t>
  </si>
  <si>
    <t>т</t>
  </si>
  <si>
    <t>Установка на место ограждающих столбиков</t>
  </si>
  <si>
    <t>100 укрепленных стоек</t>
  </si>
  <si>
    <t>Ремонт дверей</t>
  </si>
  <si>
    <t>Простая масляная окраска ранее окрашенных бордюров без подготовки с расчисткой старой краски до 10% с земли и лесов</t>
  </si>
  <si>
    <t>Смена дверных приборов :замки врезные</t>
  </si>
  <si>
    <t>Прокладка внутренних трубопроводов водоснабжения и отопления из полипропиленовых труб: диам. 40мм</t>
  </si>
  <si>
    <t>Гидравлическое испытание аппарата с внутренней трубчаткой</t>
  </si>
  <si>
    <t>Очистка внутренней поверхности:теплообменного аппарата</t>
  </si>
  <si>
    <t>Выполнение работ(оказание услуг) по организации государственной поверки приборов учета тепловой энергии</t>
  </si>
  <si>
    <t>услуга</t>
  </si>
  <si>
    <t>Окраска масляными составами ранее окрашенных больших металлических поверхностей(кроме крыш) за 2 раза(лифт)</t>
  </si>
  <si>
    <t>Смена кранов на шаровые краны диам.15,20,25,32 мм</t>
  </si>
  <si>
    <t>Смена внутренних трубопроводов из стальных труб диам до 20мм</t>
  </si>
  <si>
    <t>Смена внутренних трубопроводов из стальных труб диам до 32мм</t>
  </si>
  <si>
    <t>Провод групповой осветительных сетей в защитной оболочке</t>
  </si>
  <si>
    <t>Замена поста приказного ПКЛ18 К2И1405</t>
  </si>
  <si>
    <t>100шт.приборов</t>
  </si>
  <si>
    <t>Механизированная обработка придомовой территории ПСС</t>
  </si>
  <si>
    <t>дом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</si>
</sst>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 applyBorder="1"/>
    <xf numFmtId="0" fontId="1" fillId="0" borderId="0" xfId="0" applyFont="1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left" vertical="distributed"/>
    </xf>
    <xf numFmtId="2" fontId="1" fillId="0" borderId="1" xfId="0" applyNumberFormat="1" applyFont="1" applyBorder="1"/>
    <xf numFmtId="0" fontId="2" fillId="0" borderId="0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left" vertical="distributed"/>
    </xf>
    <xf numFmtId="2" fontId="0" fillId="0" borderId="0" xfId="0" applyNumberFormat="1"/>
    <xf numFmtId="0" fontId="2" fillId="2" borderId="1" xfId="0" applyFont="1" applyFill="1" applyBorder="1"/>
    <xf numFmtId="0" fontId="2" fillId="2" borderId="1" xfId="0" applyFont="1" applyFill="1" applyBorder="1" applyAlignment="1">
      <alignment horizontal="left" vertical="distributed"/>
    </xf>
    <xf numFmtId="0" fontId="2" fillId="2" borderId="0" xfId="0" applyFont="1" applyFill="1"/>
    <xf numFmtId="0" fontId="0" fillId="2" borderId="0" xfId="0" applyFill="1"/>
    <xf numFmtId="2" fontId="0" fillId="0" borderId="0" xfId="0" applyNumberFormat="1" applyBorder="1"/>
    <xf numFmtId="2" fontId="2" fillId="0" borderId="1" xfId="0" applyNumberFormat="1" applyFont="1" applyBorder="1"/>
    <xf numFmtId="2" fontId="2" fillId="0" borderId="0" xfId="0" applyNumberFormat="1" applyFont="1"/>
    <xf numFmtId="2" fontId="2" fillId="2" borderId="1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98"/>
  <sheetViews>
    <sheetView tabSelected="1" zoomScale="118" zoomScaleNormal="118" workbookViewId="0">
      <selection activeCell="E61" sqref="A1:E61"/>
    </sheetView>
  </sheetViews>
  <sheetFormatPr defaultRowHeight="15" x14ac:dyDescent="0.25"/>
  <cols>
    <col min="1" max="1" width="5.140625" customWidth="1"/>
    <col min="2" max="2" width="47.42578125" customWidth="1"/>
    <col min="3" max="3" width="10.85546875" customWidth="1"/>
    <col min="4" max="4" width="12.5703125" customWidth="1"/>
    <col min="5" max="5" width="16.7109375" customWidth="1"/>
    <col min="6" max="6" width="11.85546875" bestFit="1" customWidth="1"/>
    <col min="7" max="7" width="10.5703125" customWidth="1"/>
  </cols>
  <sheetData>
    <row r="1" spans="1:6" ht="15.75" x14ac:dyDescent="0.25">
      <c r="A1" s="4"/>
      <c r="B1" s="3" t="s">
        <v>0</v>
      </c>
      <c r="C1" s="3"/>
      <c r="D1" s="4"/>
      <c r="E1" s="4"/>
      <c r="F1" s="1"/>
    </row>
    <row r="2" spans="1:6" ht="15.75" x14ac:dyDescent="0.25">
      <c r="A2" s="4"/>
      <c r="B2" s="3" t="s">
        <v>17</v>
      </c>
      <c r="C2" s="3"/>
      <c r="D2" s="3"/>
      <c r="E2" s="3"/>
      <c r="F2" s="1"/>
    </row>
    <row r="3" spans="1:6" ht="15.75" x14ac:dyDescent="0.25">
      <c r="A3" s="4"/>
      <c r="B3" s="3" t="s">
        <v>48</v>
      </c>
      <c r="C3" s="3"/>
      <c r="D3" s="3"/>
      <c r="E3" s="3"/>
      <c r="F3" s="1"/>
    </row>
    <row r="4" spans="1:6" ht="15.75" x14ac:dyDescent="0.25">
      <c r="A4" s="4"/>
      <c r="B4" s="3" t="s">
        <v>34</v>
      </c>
      <c r="C4" s="3"/>
      <c r="D4" s="3"/>
      <c r="E4" s="3"/>
      <c r="F4" s="1"/>
    </row>
    <row r="5" spans="1:6" ht="15.75" x14ac:dyDescent="0.25">
      <c r="A5" s="4"/>
      <c r="B5" s="4"/>
      <c r="C5" s="4"/>
      <c r="D5" s="4"/>
      <c r="E5" s="4"/>
      <c r="F5" s="1"/>
    </row>
    <row r="6" spans="1:6" ht="15.75" x14ac:dyDescent="0.25">
      <c r="A6" s="5" t="s">
        <v>1</v>
      </c>
      <c r="B6" s="5" t="s">
        <v>2</v>
      </c>
      <c r="C6" s="5" t="s">
        <v>3</v>
      </c>
      <c r="D6" s="5" t="s">
        <v>4</v>
      </c>
      <c r="E6" s="5" t="s">
        <v>5</v>
      </c>
      <c r="F6" s="4"/>
    </row>
    <row r="7" spans="1:6" ht="15.75" x14ac:dyDescent="0.25">
      <c r="A7" s="6" t="s">
        <v>6</v>
      </c>
      <c r="B7" s="6"/>
      <c r="C7" s="6"/>
      <c r="D7" s="6"/>
      <c r="E7" s="6" t="s">
        <v>7</v>
      </c>
      <c r="F7" s="4"/>
    </row>
    <row r="8" spans="1:6" s="1" customFormat="1" ht="15.75" x14ac:dyDescent="0.25">
      <c r="A8" s="6"/>
      <c r="B8" s="11" t="s">
        <v>9</v>
      </c>
      <c r="C8" s="6"/>
      <c r="D8" s="6"/>
      <c r="E8" s="6"/>
      <c r="F8" s="4"/>
    </row>
    <row r="9" spans="1:6" s="1" customFormat="1" ht="15.75" x14ac:dyDescent="0.25">
      <c r="A9" s="7">
        <v>1</v>
      </c>
      <c r="B9" s="8" t="s">
        <v>51</v>
      </c>
      <c r="C9" s="8" t="s">
        <v>12</v>
      </c>
      <c r="D9" s="7">
        <f>0.27+0.06</f>
        <v>0.33</v>
      </c>
      <c r="E9" s="7">
        <f>4831.2+994</f>
        <v>5825.2</v>
      </c>
      <c r="F9" s="4"/>
    </row>
    <row r="10" spans="1:6" ht="15.75" x14ac:dyDescent="0.25">
      <c r="A10" s="7">
        <v>2</v>
      </c>
      <c r="B10" s="8" t="s">
        <v>33</v>
      </c>
      <c r="C10" s="8" t="s">
        <v>12</v>
      </c>
      <c r="D10" s="7">
        <f>0.11+0.02+0.05+0.02+0.05+0.04+0.08</f>
        <v>0.37</v>
      </c>
      <c r="E10" s="7">
        <f>1713.4+316.2+789.2+323.4+809.6+648+1324.6</f>
        <v>5924.4</v>
      </c>
      <c r="F10" s="4"/>
    </row>
    <row r="11" spans="1:6" s="1" customFormat="1" ht="15.75" x14ac:dyDescent="0.25">
      <c r="A11" s="7">
        <v>3</v>
      </c>
      <c r="B11" s="8" t="s">
        <v>61</v>
      </c>
      <c r="C11" s="8" t="s">
        <v>12</v>
      </c>
      <c r="D11" s="7">
        <f>0.07+0.02+0.06+0.04+0.1+0.24+0.04+0.04</f>
        <v>0.6100000000000001</v>
      </c>
      <c r="E11" s="7">
        <f>1006.6+295+863.6+622.2+1570.6+3855.2+651.8+636.2</f>
        <v>9501.2000000000007</v>
      </c>
      <c r="F11" s="4"/>
    </row>
    <row r="12" spans="1:6" s="1" customFormat="1" ht="15.75" x14ac:dyDescent="0.25">
      <c r="A12" s="7">
        <v>4</v>
      </c>
      <c r="B12" s="8" t="s">
        <v>36</v>
      </c>
      <c r="C12" s="8" t="s">
        <v>12</v>
      </c>
      <c r="D12" s="7">
        <v>0.01</v>
      </c>
      <c r="E12" s="7">
        <v>4827.6000000000004</v>
      </c>
      <c r="F12" s="4"/>
    </row>
    <row r="13" spans="1:6" s="1" customFormat="1" ht="31.5" x14ac:dyDescent="0.25">
      <c r="A13" s="7">
        <v>5</v>
      </c>
      <c r="B13" s="8" t="s">
        <v>24</v>
      </c>
      <c r="C13" s="8" t="s">
        <v>12</v>
      </c>
      <c r="D13" s="7">
        <f>0.01+0.01+0.01</f>
        <v>0.03</v>
      </c>
      <c r="E13" s="7">
        <f>881.2+1512+1568.8</f>
        <v>3962</v>
      </c>
      <c r="F13" s="4"/>
    </row>
    <row r="14" spans="1:6" s="1" customFormat="1" ht="47.25" x14ac:dyDescent="0.25">
      <c r="A14" s="7">
        <v>6</v>
      </c>
      <c r="B14" s="8" t="s">
        <v>22</v>
      </c>
      <c r="C14" s="8" t="s">
        <v>23</v>
      </c>
      <c r="D14" s="7">
        <v>0.28000000000000003</v>
      </c>
      <c r="E14" s="7">
        <f>2739.2+925.2+925.2+925.2+994.4+994.4+994.4+1066+1066+1066</f>
        <v>11695.999999999998</v>
      </c>
      <c r="F14" s="4"/>
    </row>
    <row r="15" spans="1:6" s="1" customFormat="1" ht="47.25" x14ac:dyDescent="0.25">
      <c r="A15" s="7">
        <v>9</v>
      </c>
      <c r="B15" s="8" t="s">
        <v>43</v>
      </c>
      <c r="C15" s="8" t="s">
        <v>11</v>
      </c>
      <c r="D15" s="7">
        <f>23.32</f>
        <v>23.32</v>
      </c>
      <c r="E15" s="7">
        <f>172583</f>
        <v>172583</v>
      </c>
      <c r="F15" s="4"/>
    </row>
    <row r="16" spans="1:6" s="1" customFormat="1" ht="47.25" x14ac:dyDescent="0.25">
      <c r="A16" s="7">
        <v>10</v>
      </c>
      <c r="B16" s="8" t="s">
        <v>44</v>
      </c>
      <c r="C16" s="8" t="s">
        <v>11</v>
      </c>
      <c r="D16" s="7">
        <f>1.19</f>
        <v>1.19</v>
      </c>
      <c r="E16" s="7">
        <f>8915</f>
        <v>8915</v>
      </c>
      <c r="F16" s="4"/>
    </row>
    <row r="17" spans="1:6" s="1" customFormat="1" ht="47.25" x14ac:dyDescent="0.25">
      <c r="A17" s="7">
        <v>11</v>
      </c>
      <c r="B17" s="8" t="s">
        <v>45</v>
      </c>
      <c r="C17" s="8" t="s">
        <v>11</v>
      </c>
      <c r="D17" s="7">
        <v>1.04</v>
      </c>
      <c r="E17" s="7">
        <f>8220.2</f>
        <v>8220.2000000000007</v>
      </c>
      <c r="F17" s="4"/>
    </row>
    <row r="18" spans="1:6" s="1" customFormat="1" ht="31.5" x14ac:dyDescent="0.25">
      <c r="A18" s="7"/>
      <c r="B18" s="8" t="s">
        <v>49</v>
      </c>
      <c r="C18" s="8" t="s">
        <v>50</v>
      </c>
      <c r="D18" s="7">
        <f>0.4</f>
        <v>0.4</v>
      </c>
      <c r="E18" s="7">
        <f>5168.6</f>
        <v>5168.6000000000004</v>
      </c>
      <c r="F18" s="4"/>
    </row>
    <row r="19" spans="1:6" s="1" customFormat="1" ht="78.75" x14ac:dyDescent="0.25">
      <c r="A19" s="7">
        <v>12</v>
      </c>
      <c r="B19" s="8" t="s">
        <v>18</v>
      </c>
      <c r="C19" s="8" t="s">
        <v>19</v>
      </c>
      <c r="D19" s="7">
        <v>2.17</v>
      </c>
      <c r="E19" s="7">
        <f>22667.4+7653.8+7653.8+7653.8+8231.6+8231.6+8231.6+8810.4+8810.4+8810.4</f>
        <v>96754.799999999988</v>
      </c>
      <c r="F19" s="4"/>
    </row>
    <row r="20" spans="1:6" s="1" customFormat="1" ht="31.5" x14ac:dyDescent="0.25">
      <c r="A20" s="7">
        <v>13</v>
      </c>
      <c r="B20" s="8" t="s">
        <v>20</v>
      </c>
      <c r="C20" s="8" t="s">
        <v>21</v>
      </c>
      <c r="D20" s="7">
        <f>0.2+0.02+0.06+0.02+0.02+0.06+0.12+0.1+0.04+0.04</f>
        <v>0.68</v>
      </c>
      <c r="E20" s="7">
        <f>10418.6+1058.8+3173+1058.8+1137.2+3412.8+6828.8+6088.6+2436.8+2436.8</f>
        <v>38050.200000000004</v>
      </c>
      <c r="F20" s="4"/>
    </row>
    <row r="21" spans="1:6" s="1" customFormat="1" ht="31.5" x14ac:dyDescent="0.25">
      <c r="A21" s="7">
        <v>21</v>
      </c>
      <c r="B21" s="8" t="s">
        <v>72</v>
      </c>
      <c r="C21" s="8" t="s">
        <v>25</v>
      </c>
      <c r="D21" s="7">
        <f>0.01</f>
        <v>0.01</v>
      </c>
      <c r="E21" s="7">
        <f>1037-0.8</f>
        <v>1036.2</v>
      </c>
      <c r="F21" s="4"/>
    </row>
    <row r="22" spans="1:6" s="1" customFormat="1" ht="31.5" x14ac:dyDescent="0.25">
      <c r="A22" s="7">
        <v>22</v>
      </c>
      <c r="B22" s="8" t="s">
        <v>47</v>
      </c>
      <c r="C22" s="8" t="s">
        <v>25</v>
      </c>
      <c r="D22" s="7">
        <f>0.01+0.01</f>
        <v>0.02</v>
      </c>
      <c r="E22" s="7">
        <f>816.4+1122.2</f>
        <v>1938.6</v>
      </c>
      <c r="F22" s="4"/>
    </row>
    <row r="23" spans="1:6" ht="15.75" x14ac:dyDescent="0.25">
      <c r="A23" s="7"/>
      <c r="B23" s="8"/>
      <c r="C23" s="8"/>
      <c r="D23" s="7"/>
      <c r="E23" s="9">
        <f>SUM(E9:E22)</f>
        <v>374403</v>
      </c>
      <c r="F23" s="4"/>
    </row>
    <row r="24" spans="1:6" ht="15.75" x14ac:dyDescent="0.25">
      <c r="A24" s="7"/>
      <c r="B24" s="12" t="s">
        <v>10</v>
      </c>
      <c r="C24" s="8"/>
      <c r="D24" s="7"/>
      <c r="E24" s="7"/>
      <c r="F24" s="4"/>
    </row>
    <row r="25" spans="1:6" s="1" customFormat="1" ht="47.25" x14ac:dyDescent="0.25">
      <c r="A25" s="7">
        <v>1</v>
      </c>
      <c r="B25" s="8" t="s">
        <v>76</v>
      </c>
      <c r="C25" s="8" t="s">
        <v>77</v>
      </c>
      <c r="D25" s="7">
        <f>1</f>
        <v>1</v>
      </c>
      <c r="E25" s="7">
        <f>19200</f>
        <v>19200</v>
      </c>
      <c r="F25" s="4"/>
    </row>
    <row r="26" spans="1:6" ht="31.5" x14ac:dyDescent="0.25">
      <c r="A26" s="7">
        <v>2</v>
      </c>
      <c r="B26" s="8" t="s">
        <v>79</v>
      </c>
      <c r="C26" s="8" t="s">
        <v>12</v>
      </c>
      <c r="D26" s="7">
        <f>0.01+0.01+0.02+0.01+0.06+0.01</f>
        <v>0.12</v>
      </c>
      <c r="E26" s="7">
        <f>986.4+986.4+2031.8+1018.6+7524.2+1292.8</f>
        <v>13840.199999999999</v>
      </c>
      <c r="F26" s="4"/>
    </row>
    <row r="27" spans="1:6" s="1" customFormat="1" ht="15.75" x14ac:dyDescent="0.25">
      <c r="A27" s="7">
        <v>3</v>
      </c>
      <c r="B27" s="8" t="s">
        <v>15</v>
      </c>
      <c r="C27" s="8" t="s">
        <v>16</v>
      </c>
      <c r="D27" s="7">
        <f>4+2</f>
        <v>6</v>
      </c>
      <c r="E27" s="7">
        <f>4548.4+2273.8</f>
        <v>6822.2</v>
      </c>
      <c r="F27" s="4"/>
    </row>
    <row r="28" spans="1:6" s="1" customFormat="1" ht="47.25" x14ac:dyDescent="0.25">
      <c r="A28" s="7">
        <v>4</v>
      </c>
      <c r="B28" s="8" t="s">
        <v>80</v>
      </c>
      <c r="C28" s="8" t="s">
        <v>11</v>
      </c>
      <c r="D28" s="7">
        <f>0.005</f>
        <v>5.0000000000000001E-3</v>
      </c>
      <c r="E28" s="7">
        <f>526</f>
        <v>526</v>
      </c>
      <c r="F28" s="4"/>
    </row>
    <row r="29" spans="1:6" s="1" customFormat="1" ht="47.25" x14ac:dyDescent="0.25">
      <c r="A29" s="7">
        <v>5</v>
      </c>
      <c r="B29" s="8" t="s">
        <v>46</v>
      </c>
      <c r="C29" s="8" t="s">
        <v>11</v>
      </c>
      <c r="D29" s="7">
        <f>0.01</f>
        <v>0.01</v>
      </c>
      <c r="E29" s="7">
        <f>1205.8</f>
        <v>1205.8</v>
      </c>
      <c r="F29" s="4"/>
    </row>
    <row r="30" spans="1:6" s="1" customFormat="1" ht="47.25" x14ac:dyDescent="0.25">
      <c r="A30" s="7">
        <v>6</v>
      </c>
      <c r="B30" s="8" t="s">
        <v>81</v>
      </c>
      <c r="C30" s="8" t="s">
        <v>11</v>
      </c>
      <c r="D30" s="7">
        <f>0.01</f>
        <v>0.01</v>
      </c>
      <c r="E30" s="7">
        <f>1479</f>
        <v>1479</v>
      </c>
      <c r="F30" s="4"/>
    </row>
    <row r="31" spans="1:6" s="1" customFormat="1" ht="47.25" x14ac:dyDescent="0.25">
      <c r="A31" s="7">
        <v>7</v>
      </c>
      <c r="B31" s="8" t="s">
        <v>73</v>
      </c>
      <c r="C31" s="8" t="s">
        <v>53</v>
      </c>
      <c r="D31" s="7">
        <f>0.16</f>
        <v>0.16</v>
      </c>
      <c r="E31" s="7">
        <f>4932</f>
        <v>4932</v>
      </c>
      <c r="F31" s="4"/>
    </row>
    <row r="32" spans="1:6" s="1" customFormat="1" ht="31.5" x14ac:dyDescent="0.25">
      <c r="A32" s="7">
        <v>8</v>
      </c>
      <c r="B32" s="8" t="s">
        <v>75</v>
      </c>
      <c r="C32" s="8" t="s">
        <v>54</v>
      </c>
      <c r="D32" s="7">
        <f>6</f>
        <v>6</v>
      </c>
      <c r="E32" s="7">
        <f>109343.8</f>
        <v>109343.8</v>
      </c>
      <c r="F32" s="4"/>
    </row>
    <row r="33" spans="1:7" s="1" customFormat="1" ht="31.5" x14ac:dyDescent="0.25">
      <c r="A33" s="7">
        <v>9</v>
      </c>
      <c r="B33" s="8" t="s">
        <v>74</v>
      </c>
      <c r="C33" s="8" t="s">
        <v>54</v>
      </c>
      <c r="D33" s="7">
        <f>6</f>
        <v>6</v>
      </c>
      <c r="E33" s="7">
        <f>37787.6</f>
        <v>37787.599999999999</v>
      </c>
      <c r="F33" s="4"/>
      <c r="G33" s="1">
        <f>E32+E33</f>
        <v>147131.4</v>
      </c>
    </row>
    <row r="34" spans="1:7" s="1" customFormat="1" ht="94.5" x14ac:dyDescent="0.25">
      <c r="A34" s="7">
        <v>10</v>
      </c>
      <c r="B34" s="8" t="s">
        <v>41</v>
      </c>
      <c r="C34" s="8" t="s">
        <v>42</v>
      </c>
      <c r="D34" s="7">
        <f>0.01+0.005</f>
        <v>1.4999999999999999E-2</v>
      </c>
      <c r="E34" s="7">
        <f>1189+591.4</f>
        <v>1780.4</v>
      </c>
      <c r="F34" s="4"/>
    </row>
    <row r="35" spans="1:7" s="17" customFormat="1" ht="47.25" x14ac:dyDescent="0.25">
      <c r="A35" s="7">
        <v>11</v>
      </c>
      <c r="B35" s="15" t="s">
        <v>57</v>
      </c>
      <c r="C35" s="15" t="s">
        <v>58</v>
      </c>
      <c r="D35" s="14">
        <v>0.06</v>
      </c>
      <c r="E35" s="21">
        <v>1441.8</v>
      </c>
      <c r="F35" s="16"/>
    </row>
    <row r="36" spans="1:7" s="17" customFormat="1" ht="47.25" x14ac:dyDescent="0.25">
      <c r="A36" s="7">
        <v>12</v>
      </c>
      <c r="B36" s="15" t="s">
        <v>59</v>
      </c>
      <c r="C36" s="15" t="s">
        <v>60</v>
      </c>
      <c r="D36" s="14">
        <v>0.05</v>
      </c>
      <c r="E36" s="14">
        <v>6218.2</v>
      </c>
      <c r="F36" s="16"/>
    </row>
    <row r="37" spans="1:7" s="17" customFormat="1" ht="31.5" x14ac:dyDescent="0.25">
      <c r="A37" s="7">
        <v>13</v>
      </c>
      <c r="B37" s="8" t="s">
        <v>56</v>
      </c>
      <c r="C37" s="8" t="s">
        <v>35</v>
      </c>
      <c r="D37" s="14">
        <f>5+10</f>
        <v>15</v>
      </c>
      <c r="E37" s="14">
        <f>172000+357850</f>
        <v>529850</v>
      </c>
      <c r="F37" s="16"/>
    </row>
    <row r="38" spans="1:7" s="1" customFormat="1" ht="31.5" x14ac:dyDescent="0.25">
      <c r="A38" s="7">
        <v>14</v>
      </c>
      <c r="B38" s="8" t="s">
        <v>62</v>
      </c>
      <c r="C38" s="8" t="s">
        <v>63</v>
      </c>
      <c r="D38" s="7">
        <f>0.01</f>
        <v>0.01</v>
      </c>
      <c r="E38" s="7">
        <f>503.8</f>
        <v>503.8</v>
      </c>
      <c r="F38" s="4"/>
    </row>
    <row r="39" spans="1:7" s="1" customFormat="1" ht="15.75" x14ac:dyDescent="0.25">
      <c r="A39" s="7">
        <v>15</v>
      </c>
      <c r="B39" s="8" t="s">
        <v>66</v>
      </c>
      <c r="C39" s="8" t="s">
        <v>67</v>
      </c>
      <c r="D39" s="7">
        <f>0.015+0.004</f>
        <v>1.9E-2</v>
      </c>
      <c r="E39" s="7">
        <f>2945+692.6</f>
        <v>3637.6</v>
      </c>
      <c r="F39" s="4"/>
    </row>
    <row r="40" spans="1:7" s="1" customFormat="1" ht="47.25" x14ac:dyDescent="0.25">
      <c r="A40" s="7">
        <v>16</v>
      </c>
      <c r="B40" s="8" t="s">
        <v>68</v>
      </c>
      <c r="C40" s="8" t="s">
        <v>69</v>
      </c>
      <c r="D40" s="7">
        <f>0.04</f>
        <v>0.04</v>
      </c>
      <c r="E40" s="7">
        <f>1816.8</f>
        <v>1816.8</v>
      </c>
      <c r="F40" s="4"/>
    </row>
    <row r="41" spans="1:7" s="1" customFormat="1" ht="15.75" x14ac:dyDescent="0.25">
      <c r="A41" s="7">
        <v>17</v>
      </c>
      <c r="B41" s="8" t="s">
        <v>70</v>
      </c>
      <c r="C41" s="8" t="s">
        <v>35</v>
      </c>
      <c r="D41" s="7">
        <f>1</f>
        <v>1</v>
      </c>
      <c r="E41" s="7">
        <f>2800</f>
        <v>2800</v>
      </c>
      <c r="F41" s="4"/>
    </row>
    <row r="42" spans="1:7" s="1" customFormat="1" ht="78.75" x14ac:dyDescent="0.25">
      <c r="A42" s="7">
        <v>18</v>
      </c>
      <c r="B42" s="8" t="s">
        <v>65</v>
      </c>
      <c r="C42" s="8" t="s">
        <v>55</v>
      </c>
      <c r="D42" s="7">
        <f>0.021</f>
        <v>2.1000000000000001E-2</v>
      </c>
      <c r="E42" s="7">
        <f>1210.6</f>
        <v>1210.5999999999999</v>
      </c>
      <c r="F42" s="4"/>
    </row>
    <row r="43" spans="1:7" s="1" customFormat="1" ht="78.75" x14ac:dyDescent="0.25">
      <c r="A43" s="7">
        <v>19</v>
      </c>
      <c r="B43" s="8" t="s">
        <v>71</v>
      </c>
      <c r="C43" s="8" t="s">
        <v>55</v>
      </c>
      <c r="D43" s="7">
        <v>0.20250000000000001</v>
      </c>
      <c r="E43" s="7">
        <f>2570.2</f>
        <v>2570.1999999999998</v>
      </c>
      <c r="F43" s="4"/>
    </row>
    <row r="44" spans="1:7" s="1" customFormat="1" ht="78.75" x14ac:dyDescent="0.25">
      <c r="A44" s="7">
        <v>20</v>
      </c>
      <c r="B44" s="8" t="s">
        <v>78</v>
      </c>
      <c r="C44" s="8" t="s">
        <v>55</v>
      </c>
      <c r="D44" s="7">
        <f>0.32</f>
        <v>0.32</v>
      </c>
      <c r="E44" s="7">
        <f>25343.2</f>
        <v>25343.200000000001</v>
      </c>
      <c r="F44" s="4"/>
    </row>
    <row r="45" spans="1:7" s="1" customFormat="1" ht="31.5" x14ac:dyDescent="0.25">
      <c r="A45" s="7">
        <v>21</v>
      </c>
      <c r="B45" s="8" t="s">
        <v>64</v>
      </c>
      <c r="C45" s="8" t="s">
        <v>52</v>
      </c>
      <c r="D45" s="7">
        <v>0.7</v>
      </c>
      <c r="E45" s="7">
        <f>69761.8</f>
        <v>69761.8</v>
      </c>
      <c r="F45" s="4"/>
    </row>
    <row r="46" spans="1:7" s="1" customFormat="1" ht="15.75" x14ac:dyDescent="0.25">
      <c r="A46" s="7">
        <v>22</v>
      </c>
      <c r="B46" s="8" t="s">
        <v>36</v>
      </c>
      <c r="C46" s="8" t="s">
        <v>52</v>
      </c>
      <c r="D46" s="7">
        <v>0.01</v>
      </c>
      <c r="E46" s="7">
        <f>4596.4</f>
        <v>4596.3999999999996</v>
      </c>
      <c r="F46" s="4"/>
    </row>
    <row r="47" spans="1:7" s="1" customFormat="1" ht="31.5" x14ac:dyDescent="0.25">
      <c r="A47" s="7">
        <v>23</v>
      </c>
      <c r="B47" s="8" t="s">
        <v>82</v>
      </c>
      <c r="C47" s="8" t="s">
        <v>53</v>
      </c>
      <c r="D47" s="7">
        <f>0.07</f>
        <v>7.0000000000000007E-2</v>
      </c>
      <c r="E47" s="7">
        <f>1662.2</f>
        <v>1662.2</v>
      </c>
      <c r="F47" s="4"/>
    </row>
    <row r="48" spans="1:7" s="1" customFormat="1" ht="31.5" x14ac:dyDescent="0.25">
      <c r="A48" s="7">
        <v>24</v>
      </c>
      <c r="B48" s="8" t="s">
        <v>24</v>
      </c>
      <c r="C48" s="8" t="s">
        <v>12</v>
      </c>
      <c r="D48" s="7">
        <v>0.27</v>
      </c>
      <c r="E48" s="7">
        <v>40576.800000000003</v>
      </c>
      <c r="F48" s="4"/>
    </row>
    <row r="49" spans="1:10" s="1" customFormat="1" ht="47.25" x14ac:dyDescent="0.25">
      <c r="A49" s="7">
        <v>25</v>
      </c>
      <c r="B49" s="8" t="s">
        <v>39</v>
      </c>
      <c r="C49" s="8" t="s">
        <v>40</v>
      </c>
      <c r="D49" s="7">
        <v>120</v>
      </c>
      <c r="E49" s="7">
        <v>78000</v>
      </c>
      <c r="F49" s="4"/>
    </row>
    <row r="50" spans="1:10" s="1" customFormat="1" ht="15.75" x14ac:dyDescent="0.25">
      <c r="A50" s="7">
        <v>26</v>
      </c>
      <c r="B50" s="8" t="s">
        <v>83</v>
      </c>
      <c r="C50" s="8" t="s">
        <v>35</v>
      </c>
      <c r="D50" s="7">
        <f>1</f>
        <v>1</v>
      </c>
      <c r="E50" s="7">
        <f>35000</f>
        <v>35000</v>
      </c>
      <c r="F50" s="4"/>
    </row>
    <row r="51" spans="1:10" s="1" customFormat="1" ht="31.5" x14ac:dyDescent="0.25">
      <c r="A51" s="7">
        <v>27</v>
      </c>
      <c r="B51" s="8" t="s">
        <v>37</v>
      </c>
      <c r="C51" s="8" t="s">
        <v>38</v>
      </c>
      <c r="D51" s="7">
        <f>580+80+140+40</f>
        <v>840</v>
      </c>
      <c r="E51" s="7">
        <f>19331+4000+7000+1667</f>
        <v>31998</v>
      </c>
      <c r="F51" s="4"/>
    </row>
    <row r="52" spans="1:10" s="1" customFormat="1" ht="31.5" x14ac:dyDescent="0.25">
      <c r="A52" s="7">
        <v>28</v>
      </c>
      <c r="B52" s="8" t="s">
        <v>85</v>
      </c>
      <c r="C52" s="8" t="s">
        <v>86</v>
      </c>
      <c r="D52" s="7">
        <v>1</v>
      </c>
      <c r="E52" s="7">
        <v>800</v>
      </c>
      <c r="F52" s="4"/>
    </row>
    <row r="53" spans="1:10" s="1" customFormat="1" ht="31.5" x14ac:dyDescent="0.25">
      <c r="A53" s="7">
        <v>29</v>
      </c>
      <c r="B53" s="8" t="s">
        <v>72</v>
      </c>
      <c r="C53" s="8" t="s">
        <v>84</v>
      </c>
      <c r="D53" s="7">
        <f>0.02</f>
        <v>0.02</v>
      </c>
      <c r="E53" s="7">
        <f>1785.6</f>
        <v>1785.6</v>
      </c>
      <c r="F53" s="4"/>
    </row>
    <row r="54" spans="1:10" s="1" customFormat="1" ht="15.75" x14ac:dyDescent="0.25">
      <c r="A54" s="7"/>
      <c r="B54" s="8"/>
      <c r="C54" s="8"/>
      <c r="D54" s="7"/>
      <c r="E54" s="19">
        <f>SUM(E25:E53)</f>
        <v>1036490</v>
      </c>
      <c r="F54" s="20"/>
    </row>
    <row r="55" spans="1:10" ht="15.75" x14ac:dyDescent="0.25">
      <c r="A55" s="7"/>
      <c r="B55" s="8" t="s">
        <v>8</v>
      </c>
      <c r="C55" s="7"/>
      <c r="D55" s="7"/>
      <c r="E55" s="9">
        <f>E23+E54</f>
        <v>1410893</v>
      </c>
      <c r="F55" s="4"/>
    </row>
    <row r="56" spans="1:10" ht="15.75" x14ac:dyDescent="0.25">
      <c r="A56" s="7"/>
      <c r="B56" s="8"/>
      <c r="C56" s="7"/>
      <c r="D56" s="7"/>
      <c r="E56" s="7"/>
      <c r="F56" s="4"/>
    </row>
    <row r="57" spans="1:10" ht="15.75" x14ac:dyDescent="0.25">
      <c r="A57" s="10"/>
      <c r="B57" s="10"/>
      <c r="C57" s="10"/>
      <c r="D57" s="10"/>
      <c r="E57" s="10"/>
      <c r="F57" s="4"/>
      <c r="J57" t="s">
        <v>27</v>
      </c>
    </row>
    <row r="58" spans="1:10" ht="15.75" x14ac:dyDescent="0.25">
      <c r="A58" s="10"/>
      <c r="B58" s="10" t="s">
        <v>13</v>
      </c>
      <c r="C58" s="10" t="s">
        <v>29</v>
      </c>
      <c r="D58" s="10"/>
      <c r="E58" s="10"/>
      <c r="F58" s="1"/>
    </row>
    <row r="59" spans="1:10" x14ac:dyDescent="0.25">
      <c r="A59" s="2"/>
      <c r="B59" s="2"/>
      <c r="C59" s="2"/>
      <c r="D59" s="2"/>
      <c r="E59" s="2"/>
      <c r="F59" s="1"/>
    </row>
    <row r="60" spans="1:10" x14ac:dyDescent="0.25">
      <c r="A60" s="2"/>
      <c r="B60" s="2"/>
      <c r="C60" s="2"/>
      <c r="D60" s="2"/>
      <c r="E60" s="2"/>
      <c r="F60" s="1"/>
    </row>
    <row r="61" spans="1:10" x14ac:dyDescent="0.25">
      <c r="A61" s="2"/>
      <c r="B61" s="2" t="s">
        <v>14</v>
      </c>
      <c r="C61" s="2"/>
      <c r="D61" s="2"/>
      <c r="F61" s="13"/>
      <c r="G61" s="13"/>
    </row>
    <row r="62" spans="1:10" s="1" customFormat="1" x14ac:dyDescent="0.25">
      <c r="A62" s="2"/>
      <c r="B62" s="2"/>
      <c r="C62" s="2"/>
      <c r="D62" s="18"/>
      <c r="E62" s="2"/>
      <c r="F62" s="13"/>
      <c r="G62" s="13"/>
    </row>
    <row r="63" spans="1:10" x14ac:dyDescent="0.25">
      <c r="A63" s="2"/>
      <c r="B63" s="2"/>
      <c r="C63" s="2" t="s">
        <v>30</v>
      </c>
      <c r="D63" s="18">
        <f>17031+19184.4+11863.2+12472.6+13652.6+10500.6+207732.6+15639.4+18273.4+20814.2+14289.6+12949.4</f>
        <v>374403.00000000006</v>
      </c>
      <c r="E63" s="18"/>
      <c r="F63" s="13"/>
      <c r="G63" s="13"/>
    </row>
    <row r="64" spans="1:10" x14ac:dyDescent="0.25">
      <c r="A64" s="2"/>
      <c r="B64" s="2"/>
      <c r="C64" s="2" t="s">
        <v>31</v>
      </c>
      <c r="D64" s="18">
        <f>66165+212301.6+39101.2+2476.6+75568.8+10132+9480.4+151437+45561.8+12720.4+402286.8+9258.4</f>
        <v>1036490.0000000001</v>
      </c>
      <c r="E64" s="2"/>
      <c r="F64" s="13"/>
    </row>
    <row r="65" spans="1:6" x14ac:dyDescent="0.25">
      <c r="A65" s="2"/>
      <c r="B65" s="2"/>
      <c r="C65" s="2"/>
      <c r="D65" s="18">
        <f>D63+D64</f>
        <v>1410893.0000000002</v>
      </c>
      <c r="E65" s="18"/>
    </row>
    <row r="66" spans="1:6" x14ac:dyDescent="0.25">
      <c r="A66" s="2"/>
      <c r="B66" s="2"/>
      <c r="C66" s="2" t="s">
        <v>32</v>
      </c>
      <c r="D66" s="18">
        <f>83196+231486+50964.4+14949.2+89221.4+20632.6+217213+167076.4+63835.2+33534.6+416576.4+22207.8</f>
        <v>1410893</v>
      </c>
      <c r="E66" s="2"/>
      <c r="F66" s="13"/>
    </row>
    <row r="67" spans="1:6" x14ac:dyDescent="0.25">
      <c r="A67" s="2"/>
      <c r="B67" s="2"/>
      <c r="C67" s="2"/>
      <c r="D67" s="2"/>
      <c r="E67" s="2"/>
    </row>
    <row r="1096" spans="7:7" x14ac:dyDescent="0.25">
      <c r="G1096" t="s">
        <v>28</v>
      </c>
    </row>
    <row r="1098" spans="7:7" x14ac:dyDescent="0.25">
      <c r="G1098" t="s">
        <v>26</v>
      </c>
    </row>
  </sheetData>
  <pageMargins left="0.78740157480314965" right="0.11811023622047245" top="0.35433070866141736" bottom="0.35433070866141736" header="0.31496062992125984" footer="0.31496062992125984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1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2023-01-23T11:24:32Z</cp:lastPrinted>
  <dcterms:created xsi:type="dcterms:W3CDTF">2016-09-29T06:37:31Z</dcterms:created>
  <dcterms:modified xsi:type="dcterms:W3CDTF">2023-01-23T11:26:37Z</dcterms:modified>
</cp:coreProperties>
</file>