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1" i="1" l="1"/>
  <c r="D51" i="1"/>
  <c r="E43" i="1"/>
  <c r="D43" i="1"/>
  <c r="E27" i="1"/>
  <c r="D27" i="1"/>
  <c r="E26" i="1"/>
  <c r="D26" i="1"/>
  <c r="E25" i="1"/>
  <c r="D25" i="1"/>
  <c r="E10" i="1"/>
  <c r="E9" i="1"/>
  <c r="D9" i="1"/>
  <c r="E16" i="1"/>
  <c r="D16" i="1"/>
  <c r="E15" i="1"/>
  <c r="E13" i="1"/>
  <c r="D13" i="1"/>
  <c r="D64" i="1"/>
  <c r="D62" i="1"/>
  <c r="D61" i="1"/>
  <c r="E38" i="1" l="1"/>
  <c r="D38" i="1"/>
  <c r="E37" i="1"/>
  <c r="D37" i="1"/>
  <c r="E36" i="1"/>
  <c r="D36" i="1"/>
  <c r="E30" i="1"/>
  <c r="D30" i="1"/>
  <c r="E29" i="1"/>
  <c r="D29" i="1"/>
  <c r="E22" i="1"/>
  <c r="D22" i="1"/>
  <c r="E24" i="1"/>
  <c r="D24" i="1"/>
  <c r="E35" i="1" l="1"/>
  <c r="D35" i="1"/>
  <c r="E34" i="1"/>
  <c r="D34" i="1"/>
  <c r="E17" i="1"/>
  <c r="D17" i="1"/>
  <c r="E47" i="1" l="1"/>
  <c r="D47" i="1"/>
  <c r="E42" i="1" l="1"/>
  <c r="D42" i="1"/>
  <c r="E21" i="1"/>
  <c r="D21" i="1"/>
  <c r="E23" i="1"/>
  <c r="D23" i="1"/>
  <c r="E28" i="1"/>
  <c r="D28" i="1"/>
  <c r="E8" i="1"/>
  <c r="D8" i="1"/>
  <c r="E14" i="1"/>
  <c r="D14" i="1"/>
  <c r="E12" i="1"/>
  <c r="D12" i="1"/>
  <c r="E11" i="1"/>
  <c r="D11" i="1"/>
  <c r="E39" i="1" l="1"/>
  <c r="D39" i="1"/>
  <c r="E49" i="1" l="1"/>
  <c r="D49" i="1"/>
  <c r="E31" i="1"/>
  <c r="D31" i="1"/>
  <c r="E48" i="1"/>
  <c r="D48" i="1"/>
  <c r="E46" i="1"/>
  <c r="E45" i="1"/>
  <c r="D45" i="1"/>
  <c r="E33" i="1"/>
  <c r="D33" i="1"/>
  <c r="E32" i="1"/>
  <c r="D32" i="1"/>
  <c r="E40" i="1"/>
  <c r="D40" i="1"/>
  <c r="E44" i="1"/>
  <c r="E18" i="1"/>
  <c r="D18" i="1"/>
  <c r="E41" i="1"/>
  <c r="D41" i="1"/>
  <c r="D10" i="1"/>
  <c r="D15" i="1"/>
  <c r="E52" i="1" l="1"/>
  <c r="F62" i="1" s="1"/>
  <c r="F51" i="1"/>
  <c r="F49" i="1"/>
  <c r="F43" i="1"/>
  <c r="F39" i="1"/>
  <c r="F32" i="1"/>
  <c r="F31" i="1"/>
  <c r="F27" i="1"/>
  <c r="F26" i="1"/>
  <c r="F24" i="1"/>
  <c r="F23" i="1"/>
  <c r="F22" i="1"/>
  <c r="F21" i="1"/>
  <c r="E19" i="1" l="1"/>
  <c r="D63" i="1" l="1"/>
  <c r="E53" i="1" l="1"/>
</calcChain>
</file>

<file path=xl/sharedStrings.xml><?xml version="1.0" encoding="utf-8"?>
<sst xmlns="http://schemas.openxmlformats.org/spreadsheetml/2006/main" count="107" uniqueCount="93">
  <si>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</si>
  <si>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</si>
  <si>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</si>
  <si>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</si>
  <si>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</si>
  <si>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</si>
  <si>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</si>
  <si>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</si>
  <si>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</si>
  <si>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</si>
  <si>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</si>
  <si>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</si>
  <si>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</si>
  <si>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</si>
  <si>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</si>
  <si>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</si>
  <si>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</si>
  <si>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</si>
  <si>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</si>
  <si>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</si>
  <si>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</si>
  <si>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</si>
  <si>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</si>
  <si>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</si>
  <si>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</si>
  <si>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</si>
  <si>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100м2 покрытия</t>
  </si>
  <si>
    <t>Очистка канализационной сети внутренней</t>
  </si>
  <si>
    <t>100шт приб.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</si>
  <si>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</si>
  <si>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</si>
  <si>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</si>
  <si>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</si>
  <si>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</si>
  <si>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</si>
  <si>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</si>
  <si>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</si>
  <si>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Парковая</t>
  </si>
  <si>
    <t>Проверка на прогрев отопительных приборов с регулировкой</t>
  </si>
  <si>
    <t>100 приборов</t>
  </si>
  <si>
    <t>Механизированная уборка снега на придомовой территории</t>
  </si>
  <si>
    <t>мин</t>
  </si>
  <si>
    <t>Смена дверных приборов :проушины</t>
  </si>
  <si>
    <t>Чистка крыши от снега</t>
  </si>
  <si>
    <t>м2</t>
  </si>
  <si>
    <t>100м</t>
  </si>
  <si>
    <t>Установка манометров с трехходовым краном</t>
  </si>
  <si>
    <t>1 компл.</t>
  </si>
  <si>
    <t>Замена плиток на крыльце</t>
  </si>
  <si>
    <t>шт</t>
  </si>
  <si>
    <t>100 соединений</t>
  </si>
  <si>
    <t xml:space="preserve">имущества МКД, выполненных за 2022  года на жилом доме № 3а </t>
  </si>
  <si>
    <t>Смена существующих рулонных кровель на покрытия из наплавляемых рулонных материалов в один слой</t>
  </si>
  <si>
    <t>Очистка крыши от снега</t>
  </si>
  <si>
    <t>100м2</t>
  </si>
  <si>
    <t>Окраска масляными составами ранее окрашенных больших металлических поверхностей(кроме крыш) за один раз</t>
  </si>
  <si>
    <t>Установка стендов</t>
  </si>
  <si>
    <t>Регулировка дверных доводчиков к металлическим дверям</t>
  </si>
  <si>
    <t>1шт.</t>
  </si>
  <si>
    <t>Ремонт групповых щитков на лестничной клетке без ремонта автоматов</t>
  </si>
  <si>
    <t>100шт.</t>
  </si>
  <si>
    <t>Ремонт силового предохранительного шкафа</t>
  </si>
  <si>
    <t>Смена  трубопроводов из стальных труб  диам.до 50мм(вешала)</t>
  </si>
  <si>
    <t>Окраска масляными составами ранее окрашенных больших металлических поверхностей труб стальных за 1 раз</t>
  </si>
  <si>
    <t>Выполнение работ по ремонту герметизации межпанельных швов и ремонт и восстановление водосточных труб</t>
  </si>
  <si>
    <t>услуга</t>
  </si>
  <si>
    <t>Смена внутренних трубопроводов из стальных труб  диам.до 32мм</t>
  </si>
  <si>
    <t>10м2</t>
  </si>
  <si>
    <t>Прочистка фильтров диаметром 50мм</t>
  </si>
  <si>
    <t>10 фильтров</t>
  </si>
  <si>
    <t>Смена отдельных участков трубопроводов с заготовкой в построечных условиях диам. до 50мм</t>
  </si>
  <si>
    <t>Смена кранов на шаровые краны диам. 15,25,32мм</t>
  </si>
  <si>
    <t>Усиление сварных швов(наплавкой)(ремонт петли входной двери)</t>
  </si>
  <si>
    <t>1м шва</t>
  </si>
  <si>
    <t>Ремонт кровли</t>
  </si>
  <si>
    <t>Установка люков сантехнических(ревизионных)с креплением саморезами</t>
  </si>
  <si>
    <t>Ремонт и восстановление уплотнения стыков прокладками ПРП в 1 ряд в дверях насухо</t>
  </si>
  <si>
    <t>100м восстановленной герметизации стыков</t>
  </si>
  <si>
    <t>Прочистка вентиляционных каналов</t>
  </si>
  <si>
    <t>100м канала</t>
  </si>
  <si>
    <t>Разборка трубопроводов из чугунных канализационных труб диаметром 100мм</t>
  </si>
  <si>
    <t>100м трубопровода с фасонными частями</t>
  </si>
  <si>
    <t>Прокладка трубопроводов канализации из полиэтиленовых труб диаметром</t>
  </si>
  <si>
    <t>Установка блоков в наружных и внутренних дверных проемах</t>
  </si>
  <si>
    <t>100м2 проемов</t>
  </si>
  <si>
    <t>Улучшенная окраска масляными составами по дереву заполнений дверных проемов</t>
  </si>
  <si>
    <t>Смена дверных приборов:шпингалеты</t>
  </si>
  <si>
    <t>100шт.приб.</t>
  </si>
  <si>
    <t>Механизированная обработка придомовой территории ПСС</t>
  </si>
  <si>
    <t>дом</t>
  </si>
  <si>
    <t>Разборка трубопроводов из водогазопроводных труб в зданиях и сооружениях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</si>
  <si>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диаметр:32мм</t>
  </si>
  <si>
    <t>Прокладка внутренних трубопроводов водоснабжения и отопления из многослойного полипропилена,армированного стекловолокном,из ранее собранных узлов,наружный диаметр:32мм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</si>
</sst>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0"/>
  <sheetViews>
    <sheetView tabSelected="1" zoomScale="136" zoomScaleNormal="136" workbookViewId="0">
      <selection activeCell="A59" sqref="A1:E59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6" max="6" width="10.85546875" customWidth="1"/>
  </cols>
  <sheetData>
    <row r="1" spans="1:6" ht="15.75" x14ac:dyDescent="0.25">
      <c r="A1" s="4"/>
      <c r="B1" s="3" t="s">
        <v>0</v>
      </c>
      <c r="C1" s="3"/>
      <c r="D1" s="4"/>
      <c r="E1" s="4"/>
      <c r="F1" s="1"/>
    </row>
    <row r="2" spans="1:6" ht="15.75" x14ac:dyDescent="0.25">
      <c r="A2" s="4"/>
      <c r="B2" s="3" t="s">
        <v>19</v>
      </c>
      <c r="C2" s="3"/>
      <c r="D2" s="3"/>
      <c r="E2" s="3"/>
      <c r="F2" s="1"/>
    </row>
    <row r="3" spans="1:6" ht="15.75" x14ac:dyDescent="0.25">
      <c r="A3" s="4"/>
      <c r="B3" s="3" t="s">
        <v>51</v>
      </c>
      <c r="C3" s="3"/>
      <c r="D3" s="3"/>
      <c r="E3" s="3"/>
      <c r="F3" s="1"/>
    </row>
    <row r="4" spans="1:6" ht="15.75" x14ac:dyDescent="0.25">
      <c r="A4" s="4"/>
      <c r="B4" s="3" t="s">
        <v>37</v>
      </c>
      <c r="C4" s="3"/>
      <c r="D4" s="3"/>
      <c r="E4" s="3"/>
      <c r="F4" s="1"/>
    </row>
    <row r="5" spans="1:6" ht="15.7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4"/>
    </row>
    <row r="6" spans="1:6" ht="15.75" x14ac:dyDescent="0.25">
      <c r="A6" s="6" t="s">
        <v>6</v>
      </c>
      <c r="B6" s="6"/>
      <c r="C6" s="6"/>
      <c r="D6" s="6"/>
      <c r="E6" s="6" t="s">
        <v>7</v>
      </c>
      <c r="F6" s="4"/>
    </row>
    <row r="7" spans="1:6" s="1" customFormat="1" ht="15.75" x14ac:dyDescent="0.25">
      <c r="A7" s="6"/>
      <c r="B7" s="11" t="s">
        <v>10</v>
      </c>
      <c r="C7" s="6"/>
      <c r="D7" s="6"/>
      <c r="E7" s="6"/>
      <c r="F7" s="4"/>
    </row>
    <row r="8" spans="1:6" ht="15.75" x14ac:dyDescent="0.25">
      <c r="A8" s="7">
        <v>1</v>
      </c>
      <c r="B8" s="8" t="s">
        <v>8</v>
      </c>
      <c r="C8" s="8" t="s">
        <v>13</v>
      </c>
      <c r="D8" s="7">
        <f>0.02+0.08</f>
        <v>0.1</v>
      </c>
      <c r="E8" s="7">
        <f>120+518.8</f>
        <v>638.79999999999995</v>
      </c>
      <c r="F8" s="4"/>
    </row>
    <row r="9" spans="1:6" ht="15.75" x14ac:dyDescent="0.25">
      <c r="A9" s="7">
        <v>2</v>
      </c>
      <c r="B9" s="8" t="s">
        <v>36</v>
      </c>
      <c r="C9" s="8" t="s">
        <v>13</v>
      </c>
      <c r="D9" s="7">
        <f>0.03+0.02+0.04+0.03+0.04+0.02+0.06+0.08+0.04+0.04+0.04</f>
        <v>0.43999999999999995</v>
      </c>
      <c r="E9" s="7">
        <f>544+363.6+582.2+438+582.4+300.6+898.6+1198+614.2+614.2+614.2</f>
        <v>6749.9999999999991</v>
      </c>
      <c r="F9" s="4"/>
    </row>
    <row r="10" spans="1:6" s="1" customFormat="1" ht="47.25" x14ac:dyDescent="0.25">
      <c r="A10" s="7">
        <v>3</v>
      </c>
      <c r="B10" s="8" t="s">
        <v>24</v>
      </c>
      <c r="C10" s="8" t="s">
        <v>25</v>
      </c>
      <c r="D10" s="7">
        <f>0.2</f>
        <v>0.2</v>
      </c>
      <c r="E10" s="7">
        <f>648+648+660.4+660.4+660.4+660+712+712+712+761+761+761</f>
        <v>8356.2000000000007</v>
      </c>
      <c r="F10" s="4"/>
    </row>
    <row r="11" spans="1:6" ht="47.25" x14ac:dyDescent="0.25">
      <c r="A11" s="7">
        <v>4</v>
      </c>
      <c r="B11" s="8" t="s">
        <v>15</v>
      </c>
      <c r="C11" s="8" t="s">
        <v>12</v>
      </c>
      <c r="D11" s="7">
        <f>10.15</f>
        <v>10.15</v>
      </c>
      <c r="E11" s="7">
        <f>75116</f>
        <v>75116</v>
      </c>
      <c r="F11" s="4"/>
    </row>
    <row r="12" spans="1:6" ht="47.25" x14ac:dyDescent="0.25">
      <c r="A12" s="7">
        <v>5</v>
      </c>
      <c r="B12" s="8" t="s">
        <v>16</v>
      </c>
      <c r="C12" s="8" t="s">
        <v>12</v>
      </c>
      <c r="D12" s="7">
        <f>0.991</f>
        <v>0.99099999999999999</v>
      </c>
      <c r="E12" s="7">
        <f>7425.8</f>
        <v>7425.8</v>
      </c>
      <c r="F12" s="4"/>
    </row>
    <row r="13" spans="1:6" s="1" customFormat="1" ht="31.5" x14ac:dyDescent="0.25">
      <c r="A13" s="7">
        <v>6</v>
      </c>
      <c r="B13" s="8" t="s">
        <v>38</v>
      </c>
      <c r="C13" s="8" t="s">
        <v>39</v>
      </c>
      <c r="D13" s="7">
        <f>0.12+0.16+0.06</f>
        <v>0.34</v>
      </c>
      <c r="E13" s="7">
        <f>1587.6+2264.4+849.4</f>
        <v>4701.3999999999996</v>
      </c>
      <c r="F13" s="4"/>
    </row>
    <row r="14" spans="1:6" s="1" customFormat="1" ht="31.5" x14ac:dyDescent="0.25">
      <c r="A14" s="7">
        <v>7</v>
      </c>
      <c r="B14" s="8" t="s">
        <v>68</v>
      </c>
      <c r="C14" s="8" t="s">
        <v>69</v>
      </c>
      <c r="D14" s="7">
        <f>0.2</f>
        <v>0.2</v>
      </c>
      <c r="E14" s="7">
        <f>2540.4</f>
        <v>2540.4</v>
      </c>
      <c r="F14" s="4"/>
    </row>
    <row r="15" spans="1:6" s="1" customFormat="1" ht="78.75" x14ac:dyDescent="0.25">
      <c r="A15" s="7">
        <v>8</v>
      </c>
      <c r="B15" s="8" t="s">
        <v>20</v>
      </c>
      <c r="C15" s="8" t="s">
        <v>21</v>
      </c>
      <c r="D15" s="7">
        <f>0.894</f>
        <v>0.89400000000000002</v>
      </c>
      <c r="E15" s="7">
        <f>3092.6+3092.6+3151.8+3151.8+3151.8+3151.8+3392.6+3392.6+3392.6+3629.4+3629.4+3629.4</f>
        <v>39858.399999999994</v>
      </c>
      <c r="F15" s="4"/>
    </row>
    <row r="16" spans="1:6" s="1" customFormat="1" ht="31.5" x14ac:dyDescent="0.25">
      <c r="A16" s="7">
        <v>9</v>
      </c>
      <c r="B16" s="8" t="s">
        <v>22</v>
      </c>
      <c r="C16" s="8" t="s">
        <v>23</v>
      </c>
      <c r="D16" s="7">
        <f>0.04+0.23+0.02+0.04+0.03+0.03+0.04+0.15+0.07+0.08+0.04</f>
        <v>0.76999999999999991</v>
      </c>
      <c r="E16" s="7">
        <f>2075.6+11933.4+1058.8+2116.2+1586.2+1708+2274.6+8535.8+4261.4+4872.8+2436.8</f>
        <v>42859.600000000006</v>
      </c>
      <c r="F16" s="4"/>
    </row>
    <row r="17" spans="1:6" s="1" customFormat="1" ht="47.25" x14ac:dyDescent="0.25">
      <c r="A17" s="7">
        <v>10</v>
      </c>
      <c r="B17" s="8" t="s">
        <v>27</v>
      </c>
      <c r="C17" s="8" t="s">
        <v>12</v>
      </c>
      <c r="D17" s="7">
        <f>0.03+0.03+0.03</f>
        <v>0.09</v>
      </c>
      <c r="E17" s="7">
        <f>745.8+822.2+876</f>
        <v>2444</v>
      </c>
      <c r="F17" s="4"/>
    </row>
    <row r="18" spans="1:6" s="1" customFormat="1" ht="31.5" x14ac:dyDescent="0.25">
      <c r="A18" s="7">
        <v>11</v>
      </c>
      <c r="B18" s="8" t="s">
        <v>42</v>
      </c>
      <c r="C18" s="8" t="s">
        <v>28</v>
      </c>
      <c r="D18" s="7">
        <f>0.02</f>
        <v>0.02</v>
      </c>
      <c r="E18" s="7">
        <f>1544.6</f>
        <v>1544.6</v>
      </c>
      <c r="F18" s="4"/>
    </row>
    <row r="19" spans="1:6" ht="15.75" x14ac:dyDescent="0.25">
      <c r="A19" s="7"/>
      <c r="B19" s="8"/>
      <c r="C19" s="8"/>
      <c r="D19" s="7"/>
      <c r="E19" s="9">
        <f>SUM(E8:E18)</f>
        <v>192235.2</v>
      </c>
      <c r="F19" s="4"/>
    </row>
    <row r="20" spans="1:6" ht="15.75" x14ac:dyDescent="0.25">
      <c r="A20" s="7"/>
      <c r="B20" s="12" t="s">
        <v>11</v>
      </c>
      <c r="C20" s="8"/>
      <c r="D20" s="7"/>
      <c r="E20" s="7"/>
      <c r="F20" s="4"/>
    </row>
    <row r="21" spans="1:6" s="1" customFormat="1" ht="31.5" x14ac:dyDescent="0.25">
      <c r="A21" s="7">
        <v>1</v>
      </c>
      <c r="B21" s="8" t="s">
        <v>72</v>
      </c>
      <c r="C21" s="8" t="s">
        <v>73</v>
      </c>
      <c r="D21" s="7">
        <f>0.5</f>
        <v>0.5</v>
      </c>
      <c r="E21" s="19">
        <f>1456</f>
        <v>1456</v>
      </c>
      <c r="F21" s="4">
        <f>E21/D21</f>
        <v>2912</v>
      </c>
    </row>
    <row r="22" spans="1:6" s="1" customFormat="1" ht="31.5" x14ac:dyDescent="0.25">
      <c r="A22" s="7">
        <v>2</v>
      </c>
      <c r="B22" s="8" t="s">
        <v>71</v>
      </c>
      <c r="C22" s="8" t="s">
        <v>13</v>
      </c>
      <c r="D22" s="7">
        <f>0.15+0.01+0.06+0.01</f>
        <v>0.23</v>
      </c>
      <c r="E22" s="7">
        <f>14549.6+1522.6+17501+1582</f>
        <v>35155.199999999997</v>
      </c>
      <c r="F22" s="4">
        <f>E22/13</f>
        <v>2704.2461538461534</v>
      </c>
    </row>
    <row r="23" spans="1:6" s="1" customFormat="1" ht="31.5" x14ac:dyDescent="0.25">
      <c r="A23" s="7">
        <v>3</v>
      </c>
      <c r="B23" s="8" t="s">
        <v>46</v>
      </c>
      <c r="C23" s="8" t="s">
        <v>47</v>
      </c>
      <c r="D23" s="7">
        <f>6</f>
        <v>6</v>
      </c>
      <c r="E23" s="7">
        <f>6823.2</f>
        <v>6823.2</v>
      </c>
      <c r="F23" s="4">
        <f>E23/D23</f>
        <v>1137.2</v>
      </c>
    </row>
    <row r="24" spans="1:6" s="1" customFormat="1" ht="47.25" x14ac:dyDescent="0.25">
      <c r="A24" s="7">
        <v>5</v>
      </c>
      <c r="B24" s="8" t="s">
        <v>66</v>
      </c>
      <c r="C24" s="8" t="s">
        <v>12</v>
      </c>
      <c r="D24" s="7">
        <f>0.01+0.03+0.02</f>
        <v>0.06</v>
      </c>
      <c r="E24" s="7">
        <f>1400.6+4202.4+2956.2</f>
        <v>8559.2000000000007</v>
      </c>
      <c r="F24" s="4">
        <f>E24/3</f>
        <v>2853.0666666666671</v>
      </c>
    </row>
    <row r="25" spans="1:6" s="1" customFormat="1" ht="47.25" x14ac:dyDescent="0.25">
      <c r="A25" s="7">
        <v>6</v>
      </c>
      <c r="B25" s="8" t="s">
        <v>90</v>
      </c>
      <c r="C25" s="8" t="s">
        <v>12</v>
      </c>
      <c r="D25" s="7">
        <f>0.01</f>
        <v>0.01</v>
      </c>
      <c r="E25" s="7">
        <f>309</f>
        <v>309</v>
      </c>
      <c r="F25" s="4"/>
    </row>
    <row r="26" spans="1:6" s="1" customFormat="1" ht="78.75" x14ac:dyDescent="0.25">
      <c r="A26" s="7">
        <v>7.3</v>
      </c>
      <c r="B26" s="8" t="s">
        <v>91</v>
      </c>
      <c r="C26" s="8" t="s">
        <v>50</v>
      </c>
      <c r="D26" s="7">
        <f>0.02</f>
        <v>0.02</v>
      </c>
      <c r="E26" s="7">
        <f>74.6</f>
        <v>74.599999999999994</v>
      </c>
      <c r="F26" s="4">
        <f>E26/11</f>
        <v>6.7818181818181813</v>
      </c>
    </row>
    <row r="27" spans="1:6" s="1" customFormat="1" ht="94.5" x14ac:dyDescent="0.25">
      <c r="A27" s="7">
        <v>8.6</v>
      </c>
      <c r="B27" s="8" t="s">
        <v>92</v>
      </c>
      <c r="C27" s="8" t="s">
        <v>45</v>
      </c>
      <c r="D27" s="7">
        <f>0.01</f>
        <v>0.01</v>
      </c>
      <c r="E27" s="7">
        <f>733.6</f>
        <v>733.6</v>
      </c>
      <c r="F27" s="4">
        <f>E27/7.5</f>
        <v>97.813333333333333</v>
      </c>
    </row>
    <row r="28" spans="1:6" s="1" customFormat="1" ht="47.25" x14ac:dyDescent="0.25">
      <c r="A28" s="7">
        <v>9.9</v>
      </c>
      <c r="B28" s="8" t="s">
        <v>70</v>
      </c>
      <c r="C28" s="8" t="s">
        <v>12</v>
      </c>
      <c r="D28" s="7">
        <f>0.08</f>
        <v>0.08</v>
      </c>
      <c r="E28" s="7">
        <f>10189.4</f>
        <v>10189.4</v>
      </c>
      <c r="F28" s="4"/>
    </row>
    <row r="29" spans="1:6" s="1" customFormat="1" ht="94.5" x14ac:dyDescent="0.25">
      <c r="A29" s="7">
        <v>11.2</v>
      </c>
      <c r="B29" s="8" t="s">
        <v>80</v>
      </c>
      <c r="C29" s="8" t="s">
        <v>81</v>
      </c>
      <c r="D29" s="7">
        <f>0.005</f>
        <v>5.0000000000000001E-3</v>
      </c>
      <c r="E29" s="7">
        <f>346.6</f>
        <v>346.6</v>
      </c>
      <c r="F29" s="4"/>
    </row>
    <row r="30" spans="1:6" s="1" customFormat="1" ht="47.25" x14ac:dyDescent="0.25">
      <c r="A30" s="7">
        <v>12.5</v>
      </c>
      <c r="B30" s="8" t="s">
        <v>82</v>
      </c>
      <c r="C30" s="8" t="s">
        <v>12</v>
      </c>
      <c r="D30" s="7">
        <f>0.005</f>
        <v>5.0000000000000001E-3</v>
      </c>
      <c r="E30" s="7">
        <f>659.8</f>
        <v>659.8</v>
      </c>
      <c r="F30" s="4"/>
    </row>
    <row r="31" spans="1:6" s="17" customFormat="1" ht="78.75" x14ac:dyDescent="0.25">
      <c r="A31" s="7">
        <v>13.8</v>
      </c>
      <c r="B31" s="8" t="s">
        <v>63</v>
      </c>
      <c r="C31" s="8" t="s">
        <v>14</v>
      </c>
      <c r="D31" s="14">
        <f>0.0182</f>
        <v>1.8200000000000001E-2</v>
      </c>
      <c r="E31" s="14">
        <f>817</f>
        <v>817</v>
      </c>
      <c r="F31" s="16">
        <f>E31/2</f>
        <v>408.5</v>
      </c>
    </row>
    <row r="32" spans="1:6" s="17" customFormat="1" ht="15.75" x14ac:dyDescent="0.25">
      <c r="A32" s="7">
        <v>15.1</v>
      </c>
      <c r="B32" s="15" t="s">
        <v>56</v>
      </c>
      <c r="C32" s="15" t="s">
        <v>49</v>
      </c>
      <c r="D32" s="14">
        <f>4</f>
        <v>4</v>
      </c>
      <c r="E32" s="14">
        <f>14198.2</f>
        <v>14198.2</v>
      </c>
      <c r="F32" s="16">
        <f>E32/D32</f>
        <v>3549.55</v>
      </c>
    </row>
    <row r="33" spans="1:6" s="17" customFormat="1" ht="31.5" x14ac:dyDescent="0.25">
      <c r="A33" s="7">
        <v>16.399999999999999</v>
      </c>
      <c r="B33" s="15" t="s">
        <v>57</v>
      </c>
      <c r="C33" s="15" t="s">
        <v>58</v>
      </c>
      <c r="D33" s="14">
        <f>1</f>
        <v>1</v>
      </c>
      <c r="E33" s="14">
        <f>724.4</f>
        <v>724.4</v>
      </c>
      <c r="F33" s="16"/>
    </row>
    <row r="34" spans="1:6" s="17" customFormat="1" ht="94.5" x14ac:dyDescent="0.25">
      <c r="A34" s="7">
        <v>17.7</v>
      </c>
      <c r="B34" s="15" t="s">
        <v>76</v>
      </c>
      <c r="C34" s="15" t="s">
        <v>77</v>
      </c>
      <c r="D34" s="14">
        <f>0.06</f>
        <v>0.06</v>
      </c>
      <c r="E34" s="14">
        <f>1407.4</f>
        <v>1407.4</v>
      </c>
      <c r="F34" s="16"/>
    </row>
    <row r="35" spans="1:6" s="17" customFormat="1" ht="31.5" x14ac:dyDescent="0.25">
      <c r="A35" s="7">
        <v>19</v>
      </c>
      <c r="B35" s="15" t="s">
        <v>78</v>
      </c>
      <c r="C35" s="15" t="s">
        <v>79</v>
      </c>
      <c r="D35" s="14">
        <f>0.02</f>
        <v>0.02</v>
      </c>
      <c r="E35" s="14">
        <f>340.6</f>
        <v>340.6</v>
      </c>
      <c r="F35" s="16"/>
    </row>
    <row r="36" spans="1:6" s="1" customFormat="1" ht="31.5" x14ac:dyDescent="0.25">
      <c r="A36" s="7">
        <v>20.3</v>
      </c>
      <c r="B36" s="8" t="s">
        <v>83</v>
      </c>
      <c r="C36" s="8" t="s">
        <v>84</v>
      </c>
      <c r="D36" s="7">
        <f>0.0267</f>
        <v>2.6700000000000002E-2</v>
      </c>
      <c r="E36" s="7">
        <f>10718.8</f>
        <v>10718.8</v>
      </c>
      <c r="F36" s="4"/>
    </row>
    <row r="37" spans="1:6" s="1" customFormat="1" ht="78.75" x14ac:dyDescent="0.25">
      <c r="A37" s="7">
        <v>21.6</v>
      </c>
      <c r="B37" s="8" t="s">
        <v>85</v>
      </c>
      <c r="C37" s="8" t="s">
        <v>14</v>
      </c>
      <c r="D37" s="7">
        <f>0.06</f>
        <v>0.06</v>
      </c>
      <c r="E37" s="7">
        <f>5864.2</f>
        <v>5864.2</v>
      </c>
      <c r="F37" s="4"/>
    </row>
    <row r="38" spans="1:6" s="1" customFormat="1" ht="31.5" x14ac:dyDescent="0.25">
      <c r="A38" s="7">
        <v>22.9</v>
      </c>
      <c r="B38" s="8" t="s">
        <v>86</v>
      </c>
      <c r="C38" s="8" t="s">
        <v>87</v>
      </c>
      <c r="D38" s="7">
        <f>0.02</f>
        <v>0.02</v>
      </c>
      <c r="E38" s="7">
        <f>2577.2</f>
        <v>2577.1999999999998</v>
      </c>
      <c r="F38" s="4"/>
    </row>
    <row r="39" spans="1:6" s="1" customFormat="1" ht="15.75" x14ac:dyDescent="0.25">
      <c r="A39" s="7">
        <v>24.2</v>
      </c>
      <c r="B39" s="8" t="s">
        <v>48</v>
      </c>
      <c r="C39" s="8" t="s">
        <v>67</v>
      </c>
      <c r="D39" s="7">
        <f>0.036</f>
        <v>3.5999999999999997E-2</v>
      </c>
      <c r="E39" s="7">
        <f>575.2</f>
        <v>575.20000000000005</v>
      </c>
      <c r="F39" s="4">
        <f>E39/0.3</f>
        <v>1917.3333333333335</v>
      </c>
    </row>
    <row r="40" spans="1:6" s="1" customFormat="1" ht="78.75" x14ac:dyDescent="0.25">
      <c r="A40" s="7">
        <v>25.5</v>
      </c>
      <c r="B40" s="8" t="s">
        <v>55</v>
      </c>
      <c r="C40" s="8" t="s">
        <v>14</v>
      </c>
      <c r="D40" s="7">
        <f>0.12</f>
        <v>0.12</v>
      </c>
      <c r="E40" s="7">
        <f>2432</f>
        <v>2432</v>
      </c>
      <c r="F40" s="4"/>
    </row>
    <row r="41" spans="1:6" s="1" customFormat="1" ht="47.25" x14ac:dyDescent="0.25">
      <c r="A41" s="7">
        <v>26.8</v>
      </c>
      <c r="B41" s="8" t="s">
        <v>52</v>
      </c>
      <c r="C41" s="8" t="s">
        <v>26</v>
      </c>
      <c r="D41" s="7">
        <f>0.02</f>
        <v>0.02</v>
      </c>
      <c r="E41" s="7">
        <f>1438.8</f>
        <v>1438.8</v>
      </c>
      <c r="F41" s="4"/>
    </row>
    <row r="42" spans="1:6" s="1" customFormat="1" ht="15.75" x14ac:dyDescent="0.25">
      <c r="A42" s="7">
        <v>28.1</v>
      </c>
      <c r="B42" s="8" t="s">
        <v>74</v>
      </c>
      <c r="C42" s="8" t="s">
        <v>44</v>
      </c>
      <c r="D42" s="7">
        <f>134.33</f>
        <v>134.33000000000001</v>
      </c>
      <c r="E42" s="7">
        <f>154480</f>
        <v>154480</v>
      </c>
      <c r="F42" s="4"/>
    </row>
    <row r="43" spans="1:6" s="1" customFormat="1" ht="15.75" x14ac:dyDescent="0.25">
      <c r="A43" s="7">
        <v>29.4</v>
      </c>
      <c r="B43" s="8" t="s">
        <v>43</v>
      </c>
      <c r="C43" s="8" t="s">
        <v>44</v>
      </c>
      <c r="D43" s="7">
        <f>150+150.9+238.2+196+150.9</f>
        <v>885.99999999999989</v>
      </c>
      <c r="E43" s="7">
        <f>6000+6036+9528+7840+6036</f>
        <v>35440</v>
      </c>
      <c r="F43" s="4">
        <f>E43/D43</f>
        <v>40.000000000000007</v>
      </c>
    </row>
    <row r="44" spans="1:6" s="1" customFormat="1" ht="15.75" x14ac:dyDescent="0.25">
      <c r="A44" s="7">
        <v>30.7</v>
      </c>
      <c r="B44" s="8" t="s">
        <v>53</v>
      </c>
      <c r="C44" s="8" t="s">
        <v>54</v>
      </c>
      <c r="D44" s="7">
        <v>0.36</v>
      </c>
      <c r="E44" s="7">
        <f>938.4+122.2</f>
        <v>1060.5999999999999</v>
      </c>
      <c r="F44" s="4"/>
    </row>
    <row r="45" spans="1:6" s="1" customFormat="1" ht="31.5" x14ac:dyDescent="0.25">
      <c r="A45" s="7">
        <v>32</v>
      </c>
      <c r="B45" s="8" t="s">
        <v>59</v>
      </c>
      <c r="C45" s="8" t="s">
        <v>60</v>
      </c>
      <c r="D45" s="7">
        <f>0.04</f>
        <v>0.04</v>
      </c>
      <c r="E45" s="7">
        <f>3987.6</f>
        <v>3987.6</v>
      </c>
      <c r="F45" s="4"/>
    </row>
    <row r="46" spans="1:6" s="1" customFormat="1" ht="15.75" x14ac:dyDescent="0.25">
      <c r="A46" s="7">
        <v>33.299999999999997</v>
      </c>
      <c r="B46" s="8" t="s">
        <v>61</v>
      </c>
      <c r="C46" s="8" t="s">
        <v>60</v>
      </c>
      <c r="D46" s="7">
        <v>0.01</v>
      </c>
      <c r="E46" s="7">
        <f>4596</f>
        <v>4596</v>
      </c>
      <c r="F46" s="4"/>
    </row>
    <row r="47" spans="1:6" s="1" customFormat="1" ht="47.25" x14ac:dyDescent="0.25">
      <c r="A47" s="7">
        <v>34.6</v>
      </c>
      <c r="B47" s="8" t="s">
        <v>75</v>
      </c>
      <c r="C47" s="8" t="s">
        <v>13</v>
      </c>
      <c r="D47" s="7">
        <f>0.01</f>
        <v>0.01</v>
      </c>
      <c r="E47" s="7">
        <f>2968.4</f>
        <v>2968.4</v>
      </c>
      <c r="F47" s="4"/>
    </row>
    <row r="48" spans="1:6" s="1" customFormat="1" ht="47.25" x14ac:dyDescent="0.25">
      <c r="A48" s="7">
        <v>35.9</v>
      </c>
      <c r="B48" s="8" t="s">
        <v>62</v>
      </c>
      <c r="C48" s="8" t="s">
        <v>12</v>
      </c>
      <c r="D48" s="7">
        <f>0.08</f>
        <v>0.08</v>
      </c>
      <c r="E48" s="7">
        <f>9691</f>
        <v>9691</v>
      </c>
      <c r="F48" s="4"/>
    </row>
    <row r="49" spans="1:10" s="1" customFormat="1" ht="47.25" x14ac:dyDescent="0.25">
      <c r="A49" s="7">
        <v>37.200000000000003</v>
      </c>
      <c r="B49" s="8" t="s">
        <v>64</v>
      </c>
      <c r="C49" s="8" t="s">
        <v>65</v>
      </c>
      <c r="D49" s="7">
        <f>1</f>
        <v>1</v>
      </c>
      <c r="E49" s="19">
        <f>337254</f>
        <v>337254</v>
      </c>
      <c r="F49" s="4">
        <f>E49/1</f>
        <v>337254</v>
      </c>
    </row>
    <row r="50" spans="1:10" s="1" customFormat="1" ht="31.5" x14ac:dyDescent="0.25">
      <c r="A50" s="7">
        <v>38.5</v>
      </c>
      <c r="B50" s="8" t="s">
        <v>88</v>
      </c>
      <c r="C50" s="8" t="s">
        <v>89</v>
      </c>
      <c r="D50" s="7">
        <v>1</v>
      </c>
      <c r="E50" s="7">
        <v>800</v>
      </c>
      <c r="F50" s="4"/>
    </row>
    <row r="51" spans="1:10" s="1" customFormat="1" ht="31.5" x14ac:dyDescent="0.25">
      <c r="A51" s="7">
        <v>39.799999999999997</v>
      </c>
      <c r="B51" s="8" t="s">
        <v>40</v>
      </c>
      <c r="C51" s="8" t="s">
        <v>41</v>
      </c>
      <c r="D51" s="7">
        <f>80+120+15+40+10+35+40</f>
        <v>340</v>
      </c>
      <c r="E51" s="7">
        <f>2666+4000+500+2000+417+1750+1667</f>
        <v>13000</v>
      </c>
      <c r="F51" s="4">
        <f>E51/D51</f>
        <v>38.235294117647058</v>
      </c>
    </row>
    <row r="52" spans="1:10" s="1" customFormat="1" ht="15.75" x14ac:dyDescent="0.25">
      <c r="A52" s="7"/>
      <c r="B52" s="8"/>
      <c r="C52" s="8"/>
      <c r="D52" s="7"/>
      <c r="E52" s="9">
        <f>SUM(E21:E51)</f>
        <v>668678</v>
      </c>
      <c r="F52" s="4"/>
    </row>
    <row r="53" spans="1:10" ht="15.75" x14ac:dyDescent="0.25">
      <c r="A53" s="7"/>
      <c r="B53" s="8" t="s">
        <v>9</v>
      </c>
      <c r="C53" s="7"/>
      <c r="D53" s="7"/>
      <c r="E53" s="9">
        <f>E19+E52</f>
        <v>860913.2</v>
      </c>
      <c r="F53" s="4"/>
    </row>
    <row r="54" spans="1:10" ht="15.75" x14ac:dyDescent="0.25">
      <c r="A54" s="7"/>
      <c r="B54" s="8"/>
      <c r="C54" s="7"/>
      <c r="D54" s="7"/>
      <c r="E54" s="7"/>
      <c r="F54" s="4"/>
    </row>
    <row r="55" spans="1:10" ht="15.75" x14ac:dyDescent="0.25">
      <c r="A55" s="10"/>
      <c r="B55" s="10"/>
      <c r="C55" s="10"/>
      <c r="D55" s="10"/>
      <c r="E55" s="10"/>
      <c r="F55" s="4"/>
      <c r="J55" t="s">
        <v>30</v>
      </c>
    </row>
    <row r="56" spans="1:10" ht="15.75" x14ac:dyDescent="0.25">
      <c r="A56" s="10"/>
      <c r="B56" s="10" t="s">
        <v>17</v>
      </c>
      <c r="C56" s="10" t="s">
        <v>32</v>
      </c>
      <c r="D56" s="10"/>
      <c r="E56" s="10"/>
      <c r="F56" s="1"/>
    </row>
    <row r="57" spans="1:10" x14ac:dyDescent="0.25">
      <c r="A57" s="2"/>
      <c r="B57" s="2"/>
      <c r="C57" s="2"/>
      <c r="D57" s="2"/>
      <c r="E57" s="2"/>
      <c r="F57" s="1"/>
    </row>
    <row r="58" spans="1:10" x14ac:dyDescent="0.25">
      <c r="A58" s="2"/>
      <c r="B58" s="2"/>
      <c r="C58" s="2"/>
      <c r="D58" s="2"/>
      <c r="E58" s="2"/>
      <c r="F58" s="1"/>
    </row>
    <row r="59" spans="1:10" x14ac:dyDescent="0.25">
      <c r="A59" s="2"/>
      <c r="B59" s="2" t="s">
        <v>18</v>
      </c>
      <c r="C59" s="2"/>
      <c r="D59" s="18"/>
      <c r="E59" s="2"/>
      <c r="F59" s="13"/>
      <c r="G59" s="13"/>
    </row>
    <row r="60" spans="1:10" x14ac:dyDescent="0.25">
      <c r="A60" s="2"/>
      <c r="B60" s="2"/>
      <c r="C60" s="2"/>
      <c r="D60" s="2"/>
      <c r="E60" s="2"/>
      <c r="F60" s="13"/>
      <c r="G60" s="13"/>
    </row>
    <row r="61" spans="1:10" x14ac:dyDescent="0.25">
      <c r="A61" s="2"/>
      <c r="B61" s="2"/>
      <c r="C61" s="2" t="s">
        <v>33</v>
      </c>
      <c r="D61" s="18">
        <f>7226+17582.2+5453.2+6366.4+4394.6+5398+6935.4+92878.8+15426+12406.4+9877.4+8290.8</f>
        <v>192235.19999999998</v>
      </c>
      <c r="E61" s="18"/>
      <c r="F61" s="13"/>
    </row>
    <row r="62" spans="1:10" x14ac:dyDescent="0.25">
      <c r="A62" s="2"/>
      <c r="B62" s="2"/>
      <c r="C62" s="2" t="s">
        <v>34</v>
      </c>
      <c r="D62" s="18">
        <f>25668.8+27450.2+2932+14922.6+19091.6+337254+3498.4+194652+2968.4+1748+27921.8+10570.2</f>
        <v>668678.00000000012</v>
      </c>
      <c r="E62" s="2"/>
      <c r="F62" s="13">
        <f>E52-D62</f>
        <v>0</v>
      </c>
    </row>
    <row r="63" spans="1:10" x14ac:dyDescent="0.25">
      <c r="A63" s="2"/>
      <c r="B63" s="2"/>
      <c r="C63" s="2"/>
      <c r="D63" s="18">
        <f>D61+D62</f>
        <v>860913.20000000007</v>
      </c>
      <c r="E63" s="18"/>
    </row>
    <row r="64" spans="1:10" x14ac:dyDescent="0.25">
      <c r="A64" s="2"/>
      <c r="B64" s="2"/>
      <c r="C64" s="2" t="s">
        <v>35</v>
      </c>
      <c r="D64" s="18">
        <f>32894.8+45032.4+8385.2+21289+23486.2+342652+10433.8+287530.8+18394.4+14154.4+37799.2+18861</f>
        <v>860913.2</v>
      </c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1208" spans="7:7" x14ac:dyDescent="0.25">
      <c r="G1208" t="s">
        <v>31</v>
      </c>
    </row>
    <row r="1210" spans="7:7" x14ac:dyDescent="0.25">
      <c r="G1210" t="s">
        <v>29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2023-01-24T05:47:41Z</cp:lastPrinted>
  <dcterms:created xsi:type="dcterms:W3CDTF">2016-09-29T06:37:31Z</dcterms:created>
  <dcterms:modified xsi:type="dcterms:W3CDTF">2023-01-24T05:48:55Z</dcterms:modified>
</cp:coreProperties>
</file>