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справка по выполн раб за 2022 год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95" i="1" l="1"/>
  <c r="D95" i="1"/>
  <c r="E97" i="1"/>
  <c r="D97" i="1"/>
  <c r="E19" i="1"/>
  <c r="D19" i="1"/>
  <c r="E12" i="1"/>
  <c r="E16" i="1"/>
  <c r="D110" i="1"/>
  <c r="D108" i="1"/>
  <c r="D107" i="1"/>
  <c r="E39" i="1" l="1"/>
  <c r="D39" i="1"/>
  <c r="E24" i="1"/>
  <c r="D24" i="1"/>
  <c r="E31" i="1"/>
  <c r="D31" i="1"/>
  <c r="E80" i="1" l="1"/>
  <c r="E79" i="1"/>
  <c r="E78" i="1"/>
  <c r="E77" i="1"/>
  <c r="E63" i="1"/>
  <c r="D63" i="1"/>
  <c r="E46" i="1"/>
  <c r="D46" i="1"/>
  <c r="E43" i="1" l="1"/>
  <c r="E36" i="1"/>
  <c r="D36" i="1"/>
  <c r="E34" i="1"/>
  <c r="D34" i="1"/>
  <c r="E81" i="1" l="1"/>
  <c r="E94" i="1"/>
  <c r="D94" i="1"/>
  <c r="E93" i="1"/>
  <c r="D93" i="1"/>
  <c r="E92" i="1"/>
  <c r="D92" i="1"/>
  <c r="E91" i="1"/>
  <c r="D91" i="1"/>
  <c r="E90" i="1"/>
  <c r="D90" i="1"/>
  <c r="E89" i="1"/>
  <c r="E88" i="1"/>
  <c r="D88" i="1"/>
  <c r="E87" i="1"/>
  <c r="D87" i="1"/>
  <c r="E86" i="1"/>
  <c r="D86" i="1"/>
  <c r="E84" i="1"/>
  <c r="D84" i="1"/>
  <c r="E83" i="1"/>
  <c r="E85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D82" i="1"/>
  <c r="D75" i="1"/>
  <c r="D74" i="1"/>
  <c r="D73" i="1"/>
  <c r="D72" i="1"/>
  <c r="D71" i="1"/>
  <c r="D68" i="1"/>
  <c r="D67" i="1"/>
  <c r="D66" i="1"/>
  <c r="D65" i="1"/>
  <c r="D64" i="1"/>
  <c r="D62" i="1"/>
  <c r="D61" i="1"/>
  <c r="D60" i="1"/>
  <c r="D59" i="1"/>
  <c r="D58" i="1"/>
  <c r="D57" i="1"/>
  <c r="D56" i="1"/>
  <c r="D53" i="1"/>
  <c r="D50" i="1"/>
  <c r="D49" i="1"/>
  <c r="D48" i="1"/>
  <c r="E30" i="1" l="1"/>
  <c r="D30" i="1"/>
  <c r="E10" i="1"/>
  <c r="D10" i="1"/>
  <c r="E17" i="1" l="1"/>
  <c r="E47" i="1"/>
  <c r="D47" i="1"/>
  <c r="E45" i="1"/>
  <c r="D45" i="1"/>
  <c r="E44" i="1"/>
  <c r="D44" i="1"/>
  <c r="D43" i="1"/>
  <c r="E42" i="1"/>
  <c r="E41" i="1"/>
  <c r="E40" i="1"/>
  <c r="E20" i="1" l="1"/>
  <c r="D20" i="1"/>
  <c r="D17" i="1"/>
  <c r="E15" i="1"/>
  <c r="D15" i="1"/>
  <c r="E21" i="1" l="1"/>
  <c r="E33" i="1"/>
  <c r="D33" i="1"/>
  <c r="E32" i="1"/>
  <c r="E98" i="1" s="1"/>
  <c r="F108" i="1" s="1"/>
  <c r="D109" i="1" l="1"/>
  <c r="E99" i="1" l="1"/>
</calcChain>
</file>

<file path=xl/sharedStrings.xml><?xml version="1.0" encoding="utf-8"?>
<sst xmlns="http://schemas.openxmlformats.org/spreadsheetml/2006/main" count="195" uniqueCount="152">
  <si>
    <t xml:space="preserve">                                                                           Отчет</t>
  </si>
  <si>
    <t>№№</t>
  </si>
  <si>
    <t>Наименование работ по МКД</t>
  </si>
  <si>
    <t>Ед.изм.</t>
  </si>
  <si>
    <t>Объем</t>
  </si>
  <si>
    <t>Стоимость работ,</t>
  </si>
  <si>
    <t>п/п</t>
  </si>
  <si>
    <t>руб. без НДС</t>
  </si>
  <si>
    <r>
      <rPr>
        <b/>
        <sz val="12"/>
        <color theme="1"/>
        <rFont val="Calibri"/>
        <family val="2"/>
        <charset val="204"/>
        <scheme val="minor"/>
      </rPr>
      <t>Итого</t>
    </r>
    <r>
      <rPr>
        <sz val="12"/>
        <color theme="1"/>
        <rFont val="Calibri"/>
        <family val="2"/>
        <charset val="204"/>
        <scheme val="minor"/>
      </rPr>
      <t>:</t>
    </r>
  </si>
  <si>
    <t>Техническое обслуживание</t>
  </si>
  <si>
    <t xml:space="preserve">Текущий ремонт </t>
  </si>
  <si>
    <t>100м трубопровода</t>
  </si>
  <si>
    <t>100шт</t>
  </si>
  <si>
    <t>Гидравлическое испытание трубопроводов систем отопления диам.до 50мм</t>
  </si>
  <si>
    <t>Гидравлическое испытание трубопроводов систем отопления диам.до 100мм</t>
  </si>
  <si>
    <t>Директор</t>
  </si>
  <si>
    <t>Исп.Захарова О.Е.</t>
  </si>
  <si>
    <t xml:space="preserve"> работ по текущему ремонту и техническому обслуживанию  общего </t>
  </si>
  <si>
    <t>Осмотр системы центрального отопления</t>
  </si>
  <si>
    <t>1000м2 осматриваемых помещений</t>
  </si>
  <si>
    <t>Осмотр водопровода, канализации</t>
  </si>
  <si>
    <t>100квартир</t>
  </si>
  <si>
    <t>Осмотр линий электрических сетей,арматуры и электрооборудования на л/клетках</t>
  </si>
  <si>
    <t>100 лестничных клеток</t>
  </si>
  <si>
    <t>Смена светильников со светодиодными лампами</t>
  </si>
  <si>
    <t>,</t>
  </si>
  <si>
    <t xml:space="preserve"> </t>
  </si>
  <si>
    <t>,,</t>
  </si>
  <si>
    <t>Рыжов А.А.</t>
  </si>
  <si>
    <t>т/обсл</t>
  </si>
  <si>
    <t>т/рем</t>
  </si>
  <si>
    <t>по акту</t>
  </si>
  <si>
    <t>Установка хомутов диаметром трубопроводов до 100мм на ЦО,ГВС</t>
  </si>
  <si>
    <t xml:space="preserve">                                        по улице Комсомольская</t>
  </si>
  <si>
    <t>100м</t>
  </si>
  <si>
    <t>Смена ламп светодиодных</t>
  </si>
  <si>
    <t>100штук</t>
  </si>
  <si>
    <t>шт</t>
  </si>
  <si>
    <t>1шт</t>
  </si>
  <si>
    <t>Механизированная уборка снега на придомовой территории</t>
  </si>
  <si>
    <t>мин</t>
  </si>
  <si>
    <t>Услуги трактора,экскаватора-погрузчика,погрузка снега с вывозом и складированием</t>
  </si>
  <si>
    <t>м3</t>
  </si>
  <si>
    <t>Ремонт силового предохранительного шкафа</t>
  </si>
  <si>
    <t xml:space="preserve">Установка дверного доводчика к дверям </t>
  </si>
  <si>
    <t>услуга</t>
  </si>
  <si>
    <t>Ремонт групповых щитков на лестничной клетке со сменой автоматов</t>
  </si>
  <si>
    <t>Демонтаж светильников</t>
  </si>
  <si>
    <t>Светильник в подвесных потолках</t>
  </si>
  <si>
    <t>имущества МКД, выполненных за 2022  года на жилом доме № 18</t>
  </si>
  <si>
    <t>Очистка канализационной сети внутренней</t>
  </si>
  <si>
    <t>Водоотлив из подвала электрическими насосами</t>
  </si>
  <si>
    <t>100м3 воды</t>
  </si>
  <si>
    <t>1шт.</t>
  </si>
  <si>
    <t>1 врезка</t>
  </si>
  <si>
    <t>Разборка трубопроводов из водогазопроводных труб диаметром до 32мм</t>
  </si>
  <si>
    <t>100 соединений</t>
  </si>
  <si>
    <t>Сборка узла трубопровода водоснабжения и отопления из многослойного полипропилена аримированного стекловолокном,раструбная сварка,наружный диаметр:32мм</t>
  </si>
  <si>
    <t>Прокладка внутренних трубопроводов водоснабжения и отпления из многослойных полипропиленовых труб, из ранее собранных узлов,наружным диаметром:32мм</t>
  </si>
  <si>
    <t>100шт.болтов</t>
  </si>
  <si>
    <t>100шт.приборов</t>
  </si>
  <si>
    <t>Демонтаж-монтаж двери металлической</t>
  </si>
  <si>
    <t>Усиление сварных швов (наплавкой)</t>
  </si>
  <si>
    <t>1 м шва</t>
  </si>
  <si>
    <t>Смена дверных приборов :ручки-скобы</t>
  </si>
  <si>
    <t>Укрепление оконных и дверных коробок с конопаткой</t>
  </si>
  <si>
    <t>100 полотен</t>
  </si>
  <si>
    <t>Врезка в действующие внутренние сети трубопроводов отопления и водоснабжения диаметром 20мм</t>
  </si>
  <si>
    <t>Смена внутренних трубопроводов из стальных труб диаметром до 50 мм</t>
  </si>
  <si>
    <t>Ремонт платы</t>
  </si>
  <si>
    <t>Установка дверных полотен наружных кроме балконных</t>
  </si>
  <si>
    <t>Смена дверных приборов:петли</t>
  </si>
  <si>
    <t>Ремонт кровли</t>
  </si>
  <si>
    <t>м2</t>
  </si>
  <si>
    <t>Ремонт штукатурки фасадов</t>
  </si>
  <si>
    <t>100 м2 отремонтированной поверхности</t>
  </si>
  <si>
    <t>Огрунтовка ранее окрашенных фасадов под окраску</t>
  </si>
  <si>
    <t>100м2 отремонт.поверхности</t>
  </si>
  <si>
    <t>Окраска фасадов</t>
  </si>
  <si>
    <t>100м2 окрашиваемой поверхности</t>
  </si>
  <si>
    <t>Заделка технологических ниш фанерой</t>
  </si>
  <si>
    <t>10м2</t>
  </si>
  <si>
    <t>Установка манометров с трехходовым краном</t>
  </si>
  <si>
    <t>1 компл.</t>
  </si>
  <si>
    <t>Окраска фасадов акриловыми составами с лесов вручную по подготовленной поверхности(окраска подшивки козырька входа в подъезд на улице)</t>
  </si>
  <si>
    <t>Покрытие масляными и спиртовыми лаками по окрашиваемой или огрунтованной поверхности заполнений дверных проемов за 2 раза(тамбурные двери)</t>
  </si>
  <si>
    <t xml:space="preserve">Окраска масляными составами ранее окрашенных больших металлических поверхностей (кроме крыш) за 2 раза </t>
  </si>
  <si>
    <t>Устройство вентилируемых фасадов с облицовкой плитами из керамогранита без теплоизоляционного слоя</t>
  </si>
  <si>
    <t>100м2 облицовки</t>
  </si>
  <si>
    <t>Устройство бетонных плитных крылец с запонением швов цементным раствором</t>
  </si>
  <si>
    <t>100м2 тротуара</t>
  </si>
  <si>
    <t>Резка тротуарной плитки толщиной 70мм угловой шлифовальной машинкой</t>
  </si>
  <si>
    <t>1м реза</t>
  </si>
  <si>
    <t xml:space="preserve">Уменьшать на каждые 10мм </t>
  </si>
  <si>
    <t>Разборка бетонных оснований под полы на гравии</t>
  </si>
  <si>
    <t>1м3</t>
  </si>
  <si>
    <t>Устройство покрытий из керамогранитных плиток размером 30х30см</t>
  </si>
  <si>
    <t>100м2</t>
  </si>
  <si>
    <t>Устройство ограждений из полированной нержавеющей стали настенное в помещении на стене на лестничном марше до 1 посадочной площадки</t>
  </si>
  <si>
    <t>100м ограждения</t>
  </si>
  <si>
    <t>Покрытие поверхностей грунтовкой глубокого проникновения за 1 раз стен кирпич</t>
  </si>
  <si>
    <t>100м2 покрытия</t>
  </si>
  <si>
    <t>Штукатурка поверхностей внутри здания цементным раствором по камню или бетону улучшенная стен лифтового холла 2 этажа</t>
  </si>
  <si>
    <t>100м2 оштукатуренной поверхности</t>
  </si>
  <si>
    <t>Очистка вручную поверхности от красок потолков(пожарная лестница,квартирный холл,лифтовой холл,1 этаж)</t>
  </si>
  <si>
    <t>100м2 расчищенной поверхности</t>
  </si>
  <si>
    <t>Окраска водно-дисперсионными акриловыми составами улучшенная по штукатурке потолков(пожарная лестница,квартирный холл,лифтовой холл,1 этаж)</t>
  </si>
  <si>
    <t>100м2 окрашиваемой поверхн</t>
  </si>
  <si>
    <t>Очистка вручную поверхности от красок стен(квартирные холлы)</t>
  </si>
  <si>
    <t>Окраска водно-дисперсионными акриловыми составами улучшенная по штукатурке стен(квартирные холлы)</t>
  </si>
  <si>
    <t>Очистка вручную поверхности от красок стен(лифтовые холлы,пожарная лестница)</t>
  </si>
  <si>
    <t>Окраска водно-дисперсионными акриловыми составами с лесов вручную по подготовленной поверхности по кирпичу(лифтовые холлы,пожарная лестница)</t>
  </si>
  <si>
    <t>Покрытие масляными и спиртовыми лаками по окрашиваемой или огрунтованной поверхности заполнений дверных проемов за 2 раза</t>
  </si>
  <si>
    <t>Улучшенная масляная окраска ранее окрашенных стен за 2 раза с расчисткой старой краски до 10%(сапожок)</t>
  </si>
  <si>
    <t>Окраска масляными составами ранее окрашенных металлических решеток и оград без рельефа за 2 раза</t>
  </si>
  <si>
    <t>Окраска масляными составами торцов лестничных маршей</t>
  </si>
  <si>
    <t>Окраска масляными составами ранее окрашенных поверхностей труб стальных за 2 раза</t>
  </si>
  <si>
    <t>Окраска масляными составами ранее окрашенных больших металлических поверхностей (кроме крыш) за 2 раза (электрические щитки)</t>
  </si>
  <si>
    <t>Снятие дверных полотен</t>
  </si>
  <si>
    <t>100м2 дверных полотен</t>
  </si>
  <si>
    <t>Снятие наличников</t>
  </si>
  <si>
    <t>100м наличников</t>
  </si>
  <si>
    <t xml:space="preserve">Демонтаж дверных коробок в каменных стенах </t>
  </si>
  <si>
    <t>100 коробок</t>
  </si>
  <si>
    <t>Установка блоков в наружных и внутренних стенах ,площадью проема до 3м2</t>
  </si>
  <si>
    <t>100м2 проема</t>
  </si>
  <si>
    <t>Установка и крепление наличников</t>
  </si>
  <si>
    <t>100м коробок, блоков</t>
  </si>
  <si>
    <t>Демонтаж приемного клапана мусоропровода</t>
  </si>
  <si>
    <t>Монтаж приемного клапана мусоропровода</t>
  </si>
  <si>
    <t>Короба пластмассовые шириной до 40см</t>
  </si>
  <si>
    <t>Смена светильников на светодиодные</t>
  </si>
  <si>
    <t>Короба пластмассовые шириной до 120см</t>
  </si>
  <si>
    <t>Смена выключателей</t>
  </si>
  <si>
    <t>Профиль перфорированный монтажный длиной 2м</t>
  </si>
  <si>
    <t xml:space="preserve">Смена уплотнительной резины </t>
  </si>
  <si>
    <t>Смена дверных приборов:шпингалеты</t>
  </si>
  <si>
    <t>Смена дверных приборов:пружины</t>
  </si>
  <si>
    <t>Изоляция трубопроводов изделиями из вспененного каучука насухо трубками</t>
  </si>
  <si>
    <t>10м трубопровода</t>
  </si>
  <si>
    <t>100м2 отделываемой поверхности</t>
  </si>
  <si>
    <t>Улучшенная масляная окраска ранее окрашенных фасадов</t>
  </si>
  <si>
    <t>Оказание экспертно-консультативных услуг по проверке правильности составленной сметной документации на ремонт подъезда</t>
  </si>
  <si>
    <t>Оказание услуг по осуществлению строительного контроля при выполнении работ по ремонту подьезда</t>
  </si>
  <si>
    <t>Устройство металлических ограждений с поручнями</t>
  </si>
  <si>
    <t>Устройство металлических ограждений без поручня</t>
  </si>
  <si>
    <t>Смена сгонов у трубопроводов диаметром до 32мм</t>
  </si>
  <si>
    <t>100 сгонов</t>
  </si>
  <si>
    <t>Смена кранов ГВС на шаровые краны диам.15,20,32мм</t>
  </si>
  <si>
    <t>Декоративная отделка поверхности под шелк картами(коврами) клеевая, категория сложности 2</t>
  </si>
  <si>
    <t>Механизированная обработка придомовой территории ПСС</t>
  </si>
  <si>
    <t>раз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</si>
</sst>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 vertical="distributed"/>
    </xf>
    <xf numFmtId="2" fontId="1" fillId="0" borderId="1" xfId="0" applyNumberFormat="1" applyFont="1" applyBorder="1"/>
    <xf numFmtId="0" fontId="2" fillId="0" borderId="0" xfId="0" applyFont="1" applyBorder="1"/>
    <xf numFmtId="0" fontId="1" fillId="0" borderId="3" xfId="0" applyFont="1" applyBorder="1"/>
    <xf numFmtId="0" fontId="1" fillId="0" borderId="1" xfId="0" applyFont="1" applyBorder="1" applyAlignment="1">
      <alignment horizontal="left" vertical="distributed"/>
    </xf>
    <xf numFmtId="2" fontId="0" fillId="0" borderId="0" xfId="0" applyNumberFormat="1"/>
    <xf numFmtId="0" fontId="2" fillId="2" borderId="1" xfId="0" applyFont="1" applyFill="1" applyBorder="1" applyAlignment="1">
      <alignment horizontal="left" vertical="distributed"/>
    </xf>
    <xf numFmtId="0" fontId="2" fillId="2" borderId="0" xfId="0" applyFont="1" applyFill="1"/>
    <xf numFmtId="0" fontId="0" fillId="2" borderId="0" xfId="0" applyFill="1"/>
    <xf numFmtId="2" fontId="0" fillId="0" borderId="0" xfId="0" applyNumberFormat="1" applyBorder="1"/>
    <xf numFmtId="0" fontId="2" fillId="0" borderId="3" xfId="0" applyFont="1" applyBorder="1" applyAlignment="1">
      <alignment horizontal="left" vertical="distributed"/>
    </xf>
    <xf numFmtId="0" fontId="0" fillId="0" borderId="1" xfId="0" applyBorder="1"/>
    <xf numFmtId="0" fontId="0" fillId="0" borderId="1" xfId="0" applyBorder="1" applyAlignment="1">
      <alignment vertical="distributed" wrapText="1"/>
    </xf>
    <xf numFmtId="2" fontId="2" fillId="0" borderId="1" xfId="0" applyNumberFormat="1" applyFont="1" applyBorder="1"/>
    <xf numFmtId="0" fontId="2" fillId="0" borderId="1" xfId="0" applyFont="1" applyBorder="1" applyAlignment="1">
      <alignment horizontal="left" vertical="distributed" wrapText="1"/>
    </xf>
    <xf numFmtId="2" fontId="0" fillId="0" borderId="1" xfId="0" applyNumberFormat="1" applyBorder="1"/>
    <xf numFmtId="0" fontId="2" fillId="2" borderId="1" xfId="0" applyFont="1" applyFill="1" applyBorder="1"/>
    <xf numFmtId="0" fontId="0" fillId="2" borderId="1" xfId="0" applyFill="1" applyBorder="1" applyAlignment="1"/>
    <xf numFmtId="0" fontId="2" fillId="2" borderId="1" xfId="0" applyFont="1" applyFill="1" applyBorder="1" applyAlignment="1">
      <alignment horizontal="left" vertical="distributed" wrapText="1"/>
    </xf>
    <xf numFmtId="0" fontId="0" fillId="2" borderId="1" xfId="0" applyFill="1" applyBorder="1"/>
    <xf numFmtId="2" fontId="2" fillId="2" borderId="1" xfId="0" applyNumberFormat="1" applyFont="1" applyFill="1" applyBorder="1"/>
    <xf numFmtId="0" fontId="3" fillId="2" borderId="4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vertical="distributed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left" vertical="distributed" wrapText="1"/>
    </xf>
    <xf numFmtId="0" fontId="2" fillId="2" borderId="0" xfId="0" applyFont="1" applyFill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60"/>
  <sheetViews>
    <sheetView tabSelected="1" zoomScale="124" zoomScaleNormal="124" workbookViewId="0">
      <selection activeCell="E105" sqref="A1:E105"/>
    </sheetView>
  </sheetViews>
  <sheetFormatPr defaultRowHeight="15" x14ac:dyDescent="0.25"/>
  <cols>
    <col min="1" max="1" width="5.140625" customWidth="1"/>
    <col min="2" max="2" width="47.42578125" customWidth="1"/>
    <col min="3" max="3" width="10.85546875" customWidth="1"/>
    <col min="4" max="4" width="10.7109375" customWidth="1"/>
    <col min="5" max="5" width="16.7109375" customWidth="1"/>
    <col min="7" max="7" width="11.7109375" customWidth="1"/>
    <col min="15" max="15" width="11.28515625" customWidth="1"/>
    <col min="17" max="17" width="9.85546875" bestFit="1" customWidth="1"/>
  </cols>
  <sheetData>
    <row r="1" spans="1:6" ht="15.75" x14ac:dyDescent="0.25">
      <c r="A1" s="4"/>
      <c r="B1" s="4"/>
      <c r="C1" s="4"/>
      <c r="D1" s="4"/>
      <c r="E1" s="4"/>
      <c r="F1" s="1"/>
    </row>
    <row r="2" spans="1:6" ht="15.75" x14ac:dyDescent="0.25">
      <c r="A2" s="4"/>
      <c r="B2" s="3" t="s">
        <v>0</v>
      </c>
      <c r="C2" s="3"/>
      <c r="D2" s="4"/>
      <c r="E2" s="4"/>
      <c r="F2" s="1"/>
    </row>
    <row r="3" spans="1:6" ht="15.75" x14ac:dyDescent="0.25">
      <c r="A3" s="4"/>
      <c r="B3" s="3" t="s">
        <v>17</v>
      </c>
      <c r="C3" s="3"/>
      <c r="D3" s="3"/>
      <c r="E3" s="3"/>
      <c r="F3" s="1"/>
    </row>
    <row r="4" spans="1:6" ht="15.75" x14ac:dyDescent="0.25">
      <c r="A4" s="4"/>
      <c r="B4" s="3" t="s">
        <v>49</v>
      </c>
      <c r="C4" s="3"/>
      <c r="D4" s="3"/>
      <c r="E4" s="3"/>
      <c r="F4" s="1"/>
    </row>
    <row r="5" spans="1:6" ht="15.75" x14ac:dyDescent="0.25">
      <c r="A5" s="4"/>
      <c r="B5" s="3" t="s">
        <v>33</v>
      </c>
      <c r="C5" s="3"/>
      <c r="D5" s="3"/>
      <c r="E5" s="3"/>
      <c r="F5" s="1"/>
    </row>
    <row r="6" spans="1:6" ht="15.75" x14ac:dyDescent="0.25">
      <c r="A6" s="4"/>
      <c r="B6" s="4"/>
      <c r="C6" s="4"/>
      <c r="D6" s="4"/>
      <c r="E6" s="4"/>
      <c r="F6" s="1"/>
    </row>
    <row r="7" spans="1:6" ht="15.75" x14ac:dyDescent="0.25">
      <c r="A7" s="5" t="s">
        <v>1</v>
      </c>
      <c r="B7" s="5" t="s">
        <v>2</v>
      </c>
      <c r="C7" s="5" t="s">
        <v>3</v>
      </c>
      <c r="D7" s="5" t="s">
        <v>4</v>
      </c>
      <c r="E7" s="5" t="s">
        <v>5</v>
      </c>
      <c r="F7" s="4"/>
    </row>
    <row r="8" spans="1:6" ht="15.75" x14ac:dyDescent="0.25">
      <c r="A8" s="6" t="s">
        <v>6</v>
      </c>
      <c r="B8" s="6"/>
      <c r="C8" s="6"/>
      <c r="D8" s="6"/>
      <c r="E8" s="6" t="s">
        <v>7</v>
      </c>
      <c r="F8" s="4"/>
    </row>
    <row r="9" spans="1:6" s="1" customFormat="1" ht="15.75" x14ac:dyDescent="0.25">
      <c r="A9" s="6"/>
      <c r="B9" s="11" t="s">
        <v>9</v>
      </c>
      <c r="C9" s="6"/>
      <c r="D9" s="6"/>
      <c r="E9" s="6"/>
      <c r="F9" s="4"/>
    </row>
    <row r="10" spans="1:6" s="1" customFormat="1" ht="15.75" x14ac:dyDescent="0.25">
      <c r="A10" s="6">
        <v>1</v>
      </c>
      <c r="B10" s="6" t="s">
        <v>35</v>
      </c>
      <c r="C10" s="6" t="s">
        <v>36</v>
      </c>
      <c r="D10" s="6">
        <f>0.03+0.14</f>
        <v>0.17</v>
      </c>
      <c r="E10" s="6">
        <f>1534+7154.2</f>
        <v>8688.2000000000007</v>
      </c>
      <c r="F10" s="4"/>
    </row>
    <row r="11" spans="1:6" s="1" customFormat="1" ht="15.75" x14ac:dyDescent="0.25">
      <c r="A11" s="6">
        <v>2</v>
      </c>
      <c r="B11" s="18" t="s">
        <v>43</v>
      </c>
      <c r="C11" s="6" t="s">
        <v>12</v>
      </c>
      <c r="D11" s="6">
        <v>0.01</v>
      </c>
      <c r="E11" s="6">
        <v>4952.6000000000004</v>
      </c>
      <c r="F11" s="4"/>
    </row>
    <row r="12" spans="1:6" s="1" customFormat="1" ht="47.25" x14ac:dyDescent="0.25">
      <c r="A12" s="6">
        <v>3</v>
      </c>
      <c r="B12" s="8" t="s">
        <v>22</v>
      </c>
      <c r="C12" s="8" t="s">
        <v>23</v>
      </c>
      <c r="D12" s="7">
        <v>0.14000000000000001</v>
      </c>
      <c r="E12" s="6">
        <f>6202.4+1118+1118+1118.8+1197.4+1197.4+1197.4</f>
        <v>13149.399999999998</v>
      </c>
      <c r="F12" s="4"/>
    </row>
    <row r="13" spans="1:6" ht="47.25" x14ac:dyDescent="0.25">
      <c r="A13" s="6">
        <v>4</v>
      </c>
      <c r="B13" s="8" t="s">
        <v>13</v>
      </c>
      <c r="C13" s="8" t="s">
        <v>11</v>
      </c>
      <c r="D13" s="1">
        <v>17.93</v>
      </c>
      <c r="E13" s="21">
        <v>123241.60000000001</v>
      </c>
      <c r="F13" s="4"/>
    </row>
    <row r="14" spans="1:6" ht="47.25" x14ac:dyDescent="0.25">
      <c r="A14" s="6">
        <v>5</v>
      </c>
      <c r="B14" s="8" t="s">
        <v>14</v>
      </c>
      <c r="C14" s="8" t="s">
        <v>11</v>
      </c>
      <c r="D14" s="7">
        <v>2.83</v>
      </c>
      <c r="E14" s="7">
        <v>19453.2</v>
      </c>
      <c r="F14" s="4"/>
    </row>
    <row r="15" spans="1:6" s="1" customFormat="1" ht="31.5" x14ac:dyDescent="0.25">
      <c r="A15" s="6">
        <v>6</v>
      </c>
      <c r="B15" s="8" t="s">
        <v>32</v>
      </c>
      <c r="C15" s="8" t="s">
        <v>12</v>
      </c>
      <c r="D15" s="7">
        <f>0.01</f>
        <v>0.01</v>
      </c>
      <c r="E15" s="7">
        <f>1201</f>
        <v>1201</v>
      </c>
      <c r="F15" s="4"/>
    </row>
    <row r="16" spans="1:6" s="1" customFormat="1" ht="78.75" x14ac:dyDescent="0.25">
      <c r="A16" s="6">
        <v>7</v>
      </c>
      <c r="B16" s="8" t="s">
        <v>18</v>
      </c>
      <c r="C16" s="8" t="s">
        <v>19</v>
      </c>
      <c r="D16" s="5">
        <v>0.89</v>
      </c>
      <c r="E16" s="23">
        <f>3080.2+3080.2+3139.4+3139.4+3139.4+3139.4+3376+3376+3376+3614+3614+3614</f>
        <v>39688</v>
      </c>
      <c r="F16" s="4"/>
    </row>
    <row r="17" spans="1:6" s="1" customFormat="1" ht="47.25" x14ac:dyDescent="0.25">
      <c r="A17" s="6">
        <v>8</v>
      </c>
      <c r="B17" s="8" t="s">
        <v>50</v>
      </c>
      <c r="C17" s="8" t="s">
        <v>11</v>
      </c>
      <c r="D17" s="5">
        <f>0.12</f>
        <v>0.12</v>
      </c>
      <c r="E17" s="23">
        <f>3286.4</f>
        <v>3286.4</v>
      </c>
      <c r="F17" s="4"/>
    </row>
    <row r="18" spans="1:6" s="1" customFormat="1" ht="31.5" x14ac:dyDescent="0.25">
      <c r="A18" s="6">
        <v>9</v>
      </c>
      <c r="B18" s="22" t="s">
        <v>51</v>
      </c>
      <c r="C18" s="20" t="s">
        <v>52</v>
      </c>
      <c r="D18" s="19">
        <v>0.03</v>
      </c>
      <c r="E18" s="19">
        <v>148</v>
      </c>
      <c r="F18" s="4"/>
    </row>
    <row r="19" spans="1:6" s="1" customFormat="1" ht="31.5" x14ac:dyDescent="0.25">
      <c r="A19" s="6">
        <v>10</v>
      </c>
      <c r="B19" s="8" t="s">
        <v>20</v>
      </c>
      <c r="C19" s="8" t="s">
        <v>21</v>
      </c>
      <c r="D19" s="19">
        <f>0.17+0.02+0.02+0.04+0.04+0.08+0.02</f>
        <v>0.39</v>
      </c>
      <c r="E19" s="19">
        <f>8903.2+1138.2+1137.2+2275.2+2436.8+4872.8+1218</f>
        <v>21981.4</v>
      </c>
      <c r="F19" s="4"/>
    </row>
    <row r="20" spans="1:6" s="1" customFormat="1" ht="31.5" x14ac:dyDescent="0.25">
      <c r="A20" s="6">
        <v>11</v>
      </c>
      <c r="B20" s="8" t="s">
        <v>71</v>
      </c>
      <c r="C20" s="8" t="s">
        <v>60</v>
      </c>
      <c r="D20" s="19">
        <f>0.01</f>
        <v>0.01</v>
      </c>
      <c r="E20" s="19">
        <f>857.4</f>
        <v>857.4</v>
      </c>
      <c r="F20" s="4"/>
    </row>
    <row r="21" spans="1:6" ht="15.75" x14ac:dyDescent="0.25">
      <c r="A21" s="7"/>
      <c r="B21" s="8"/>
      <c r="C21" s="8"/>
      <c r="D21" s="7"/>
      <c r="E21" s="9">
        <f>SUM(E10:E20)</f>
        <v>236647.19999999998</v>
      </c>
      <c r="F21" s="4"/>
    </row>
    <row r="22" spans="1:6" ht="15.75" x14ac:dyDescent="0.25">
      <c r="A22" s="7"/>
      <c r="B22" s="12" t="s">
        <v>10</v>
      </c>
      <c r="C22" s="8"/>
      <c r="D22" s="7"/>
      <c r="E22" s="7"/>
      <c r="F22" s="4"/>
    </row>
    <row r="23" spans="1:6" s="16" customFormat="1" ht="15.75" x14ac:dyDescent="0.25">
      <c r="A23" s="24">
        <v>1</v>
      </c>
      <c r="B23" s="26" t="s">
        <v>69</v>
      </c>
      <c r="C23" s="24" t="s">
        <v>53</v>
      </c>
      <c r="D23" s="24">
        <v>1</v>
      </c>
      <c r="E23" s="24">
        <v>5000</v>
      </c>
      <c r="F23" s="15"/>
    </row>
    <row r="24" spans="1:6" s="16" customFormat="1" ht="31.5" x14ac:dyDescent="0.25">
      <c r="A24" s="24">
        <v>2</v>
      </c>
      <c r="B24" s="14" t="s">
        <v>148</v>
      </c>
      <c r="C24" s="14" t="s">
        <v>12</v>
      </c>
      <c r="D24" s="24">
        <f>0.2+0.15+0.01+0.01</f>
        <v>0.37</v>
      </c>
      <c r="E24" s="28">
        <f>20310+18959+1140.4+1582</f>
        <v>41991.4</v>
      </c>
      <c r="F24" s="15"/>
    </row>
    <row r="25" spans="1:6" s="16" customFormat="1" ht="47.25" x14ac:dyDescent="0.25">
      <c r="A25" s="24">
        <v>3</v>
      </c>
      <c r="B25" s="14" t="s">
        <v>68</v>
      </c>
      <c r="C25" s="14" t="s">
        <v>11</v>
      </c>
      <c r="D25" s="24">
        <v>0.115</v>
      </c>
      <c r="E25" s="28">
        <v>15277</v>
      </c>
      <c r="F25" s="15"/>
    </row>
    <row r="26" spans="1:6" s="16" customFormat="1" ht="47.25" x14ac:dyDescent="0.25">
      <c r="A26" s="24">
        <v>4</v>
      </c>
      <c r="B26" s="14" t="s">
        <v>67</v>
      </c>
      <c r="C26" s="14" t="s">
        <v>54</v>
      </c>
      <c r="D26" s="24">
        <v>2</v>
      </c>
      <c r="E26" s="24">
        <v>10605.6</v>
      </c>
      <c r="F26" s="15"/>
    </row>
    <row r="27" spans="1:6" s="16" customFormat="1" ht="47.25" x14ac:dyDescent="0.25">
      <c r="A27" s="24">
        <v>5</v>
      </c>
      <c r="B27" s="14" t="s">
        <v>55</v>
      </c>
      <c r="C27" s="14" t="s">
        <v>11</v>
      </c>
      <c r="D27" s="24">
        <v>0.03</v>
      </c>
      <c r="E27" s="24">
        <v>802.8</v>
      </c>
      <c r="F27" s="15"/>
    </row>
    <row r="28" spans="1:6" s="16" customFormat="1" ht="63" x14ac:dyDescent="0.25">
      <c r="A28" s="24">
        <v>6</v>
      </c>
      <c r="B28" s="26" t="s">
        <v>57</v>
      </c>
      <c r="C28" s="26" t="s">
        <v>56</v>
      </c>
      <c r="D28" s="24">
        <v>0.03</v>
      </c>
      <c r="E28" s="24">
        <v>99</v>
      </c>
      <c r="F28" s="15"/>
    </row>
    <row r="29" spans="1:6" s="16" customFormat="1" ht="78.75" x14ac:dyDescent="0.25">
      <c r="A29" s="24">
        <v>7</v>
      </c>
      <c r="B29" s="26" t="s">
        <v>58</v>
      </c>
      <c r="C29" s="26" t="s">
        <v>34</v>
      </c>
      <c r="D29" s="24">
        <v>0.03</v>
      </c>
      <c r="E29" s="24">
        <v>2058.1999999999998</v>
      </c>
      <c r="F29" s="15"/>
    </row>
    <row r="30" spans="1:6" s="16" customFormat="1" ht="31.5" x14ac:dyDescent="0.25">
      <c r="A30" s="24">
        <v>8</v>
      </c>
      <c r="B30" s="26" t="s">
        <v>82</v>
      </c>
      <c r="C30" s="26" t="s">
        <v>83</v>
      </c>
      <c r="D30" s="24">
        <f>15</f>
        <v>15</v>
      </c>
      <c r="E30" s="24">
        <f>17053.4</f>
        <v>17053.400000000001</v>
      </c>
      <c r="F30" s="15"/>
    </row>
    <row r="31" spans="1:6" s="16" customFormat="1" ht="31.5" x14ac:dyDescent="0.25">
      <c r="A31" s="24">
        <v>9</v>
      </c>
      <c r="B31" s="26" t="s">
        <v>146</v>
      </c>
      <c r="C31" s="26" t="s">
        <v>147</v>
      </c>
      <c r="D31" s="24">
        <f>0.01</f>
        <v>0.01</v>
      </c>
      <c r="E31" s="24">
        <f>889.2</f>
        <v>889.2</v>
      </c>
      <c r="F31" s="15"/>
    </row>
    <row r="32" spans="1:6" s="16" customFormat="1" ht="31.5" x14ac:dyDescent="0.25">
      <c r="A32" s="24">
        <v>10</v>
      </c>
      <c r="B32" s="26" t="s">
        <v>65</v>
      </c>
      <c r="C32" s="26" t="s">
        <v>59</v>
      </c>
      <c r="D32" s="24">
        <v>0.01</v>
      </c>
      <c r="E32" s="24">
        <f>1182.8</f>
        <v>1182.8</v>
      </c>
      <c r="F32" s="15"/>
    </row>
    <row r="33" spans="1:6" s="16" customFormat="1" ht="31.5" x14ac:dyDescent="0.25">
      <c r="A33" s="24">
        <v>11</v>
      </c>
      <c r="B33" s="26" t="s">
        <v>70</v>
      </c>
      <c r="C33" s="26" t="s">
        <v>66</v>
      </c>
      <c r="D33" s="24">
        <f>0.01</f>
        <v>0.01</v>
      </c>
      <c r="E33" s="24">
        <f>1803.4</f>
        <v>1803.4</v>
      </c>
      <c r="F33" s="15"/>
    </row>
    <row r="34" spans="1:6" s="16" customFormat="1" ht="31.5" x14ac:dyDescent="0.25">
      <c r="A34" s="24">
        <v>12</v>
      </c>
      <c r="B34" s="26" t="s">
        <v>64</v>
      </c>
      <c r="C34" s="26" t="s">
        <v>60</v>
      </c>
      <c r="D34" s="15">
        <f>0.01+0.01</f>
        <v>0.02</v>
      </c>
      <c r="E34" s="24">
        <f>297.8+296.8</f>
        <v>594.6</v>
      </c>
      <c r="F34" s="15"/>
    </row>
    <row r="35" spans="1:6" s="16" customFormat="1" ht="15.75" x14ac:dyDescent="0.25">
      <c r="A35" s="24">
        <v>13</v>
      </c>
      <c r="B35" s="14" t="s">
        <v>44</v>
      </c>
      <c r="C35" s="14" t="s">
        <v>38</v>
      </c>
      <c r="D35" s="25">
        <v>1</v>
      </c>
      <c r="E35" s="25">
        <v>2831.6</v>
      </c>
      <c r="F35" s="15"/>
    </row>
    <row r="36" spans="1:6" s="16" customFormat="1" ht="15.75" x14ac:dyDescent="0.25">
      <c r="A36" s="24">
        <v>14</v>
      </c>
      <c r="B36" s="14" t="s">
        <v>62</v>
      </c>
      <c r="C36" s="14" t="s">
        <v>63</v>
      </c>
      <c r="D36" s="24">
        <f>0.5+0.4</f>
        <v>0.9</v>
      </c>
      <c r="E36" s="24">
        <f>1235.6+1004.4</f>
        <v>2240</v>
      </c>
      <c r="F36" s="15"/>
    </row>
    <row r="37" spans="1:6" s="16" customFormat="1" ht="15.75" x14ac:dyDescent="0.25">
      <c r="A37" s="24">
        <v>15</v>
      </c>
      <c r="B37" s="14" t="s">
        <v>61</v>
      </c>
      <c r="C37" s="14" t="s">
        <v>37</v>
      </c>
      <c r="D37" s="24">
        <v>1</v>
      </c>
      <c r="E37" s="24">
        <v>56000</v>
      </c>
      <c r="F37" s="15"/>
    </row>
    <row r="38" spans="1:6" s="16" customFormat="1" ht="31.5" x14ac:dyDescent="0.25">
      <c r="A38" s="24">
        <v>16</v>
      </c>
      <c r="B38" s="14" t="s">
        <v>46</v>
      </c>
      <c r="C38" s="14" t="s">
        <v>12</v>
      </c>
      <c r="D38" s="24">
        <v>0.01</v>
      </c>
      <c r="E38" s="24">
        <v>4460</v>
      </c>
      <c r="F38" s="15"/>
    </row>
    <row r="39" spans="1:6" s="16" customFormat="1" ht="31.5" x14ac:dyDescent="0.25">
      <c r="A39" s="24">
        <v>17</v>
      </c>
      <c r="B39" s="14" t="s">
        <v>24</v>
      </c>
      <c r="C39" s="14" t="s">
        <v>12</v>
      </c>
      <c r="D39" s="24">
        <f>0.01+0.01</f>
        <v>0.02</v>
      </c>
      <c r="E39" s="24">
        <f>1568.8+3019.2</f>
        <v>4588</v>
      </c>
      <c r="F39" s="15"/>
    </row>
    <row r="40" spans="1:6" s="16" customFormat="1" ht="15.75" x14ac:dyDescent="0.25">
      <c r="A40" s="24">
        <v>18</v>
      </c>
      <c r="B40" s="14" t="s">
        <v>47</v>
      </c>
      <c r="C40" s="14" t="s">
        <v>12</v>
      </c>
      <c r="D40" s="24">
        <v>0.04</v>
      </c>
      <c r="E40" s="24">
        <f>1810.8</f>
        <v>1810.8</v>
      </c>
      <c r="F40" s="15"/>
    </row>
    <row r="41" spans="1:6" s="16" customFormat="1" ht="15.75" x14ac:dyDescent="0.25">
      <c r="A41" s="24">
        <v>19</v>
      </c>
      <c r="B41" s="14" t="s">
        <v>48</v>
      </c>
      <c r="C41" s="14" t="s">
        <v>37</v>
      </c>
      <c r="D41" s="24">
        <v>0.04</v>
      </c>
      <c r="E41" s="24">
        <f>9281</f>
        <v>9281</v>
      </c>
      <c r="F41" s="15"/>
    </row>
    <row r="42" spans="1:6" s="16" customFormat="1" ht="15.75" x14ac:dyDescent="0.25">
      <c r="A42" s="24">
        <v>20</v>
      </c>
      <c r="B42" s="14" t="s">
        <v>72</v>
      </c>
      <c r="C42" s="14" t="s">
        <v>73</v>
      </c>
      <c r="D42" s="24">
        <v>130</v>
      </c>
      <c r="E42" s="24">
        <f>188864.8</f>
        <v>188864.8</v>
      </c>
      <c r="F42" s="15"/>
    </row>
    <row r="43" spans="1:6" s="16" customFormat="1" ht="94.5" x14ac:dyDescent="0.25">
      <c r="A43" s="24">
        <v>21</v>
      </c>
      <c r="B43" s="14" t="s">
        <v>74</v>
      </c>
      <c r="C43" s="14" t="s">
        <v>75</v>
      </c>
      <c r="D43" s="24">
        <f>0.165</f>
        <v>0.16500000000000001</v>
      </c>
      <c r="E43" s="24">
        <f>27870+5533.2</f>
        <v>33403.199999999997</v>
      </c>
      <c r="F43" s="15"/>
    </row>
    <row r="44" spans="1:6" s="16" customFormat="1" ht="63" x14ac:dyDescent="0.25">
      <c r="A44" s="24">
        <v>22</v>
      </c>
      <c r="B44" s="14" t="s">
        <v>76</v>
      </c>
      <c r="C44" s="14" t="s">
        <v>77</v>
      </c>
      <c r="D44" s="24">
        <f>3.2902</f>
        <v>3.2902</v>
      </c>
      <c r="E44" s="24">
        <f>20544.2</f>
        <v>20544.2</v>
      </c>
      <c r="F44" s="15"/>
    </row>
    <row r="45" spans="1:6" s="16" customFormat="1" ht="78.75" x14ac:dyDescent="0.25">
      <c r="A45" s="24">
        <v>23</v>
      </c>
      <c r="B45" s="14" t="s">
        <v>78</v>
      </c>
      <c r="C45" s="14" t="s">
        <v>79</v>
      </c>
      <c r="D45" s="24">
        <f>3.2902</f>
        <v>3.2902</v>
      </c>
      <c r="E45" s="24">
        <f>95023.4</f>
        <v>95023.4</v>
      </c>
      <c r="F45" s="15"/>
    </row>
    <row r="46" spans="1:6" s="16" customFormat="1" ht="78.75" x14ac:dyDescent="0.25">
      <c r="A46" s="24">
        <v>24</v>
      </c>
      <c r="B46" s="14" t="s">
        <v>141</v>
      </c>
      <c r="C46" s="14" t="s">
        <v>79</v>
      </c>
      <c r="D46" s="24">
        <f>0.062</f>
        <v>6.2E-2</v>
      </c>
      <c r="E46" s="24">
        <f>1924.6</f>
        <v>1924.6</v>
      </c>
      <c r="F46" s="15"/>
    </row>
    <row r="47" spans="1:6" s="16" customFormat="1" ht="15.75" x14ac:dyDescent="0.25">
      <c r="A47" s="24">
        <v>25</v>
      </c>
      <c r="B47" s="14" t="s">
        <v>80</v>
      </c>
      <c r="C47" s="14" t="s">
        <v>81</v>
      </c>
      <c r="D47" s="24">
        <f>0.231</f>
        <v>0.23100000000000001</v>
      </c>
      <c r="E47" s="24">
        <f>2058.4</f>
        <v>2058.4</v>
      </c>
      <c r="F47" s="15"/>
    </row>
    <row r="48" spans="1:6" s="16" customFormat="1" ht="78.75" x14ac:dyDescent="0.25">
      <c r="A48" s="24">
        <v>26</v>
      </c>
      <c r="B48" s="29" t="s">
        <v>84</v>
      </c>
      <c r="C48" s="30" t="s">
        <v>79</v>
      </c>
      <c r="D48" s="31">
        <f>0.12</f>
        <v>0.12</v>
      </c>
      <c r="E48" s="24">
        <f>1998.4</f>
        <v>1998.4</v>
      </c>
      <c r="F48" s="15"/>
    </row>
    <row r="49" spans="1:6" s="16" customFormat="1" ht="78.75" x14ac:dyDescent="0.25">
      <c r="A49" s="24">
        <v>27</v>
      </c>
      <c r="B49" s="29" t="s">
        <v>85</v>
      </c>
      <c r="C49" s="30" t="s">
        <v>79</v>
      </c>
      <c r="D49" s="31">
        <f>0.0706</f>
        <v>7.0599999999999996E-2</v>
      </c>
      <c r="E49" s="24">
        <f>1816.4</f>
        <v>1816.4</v>
      </c>
      <c r="F49" s="15"/>
    </row>
    <row r="50" spans="1:6" s="16" customFormat="1" ht="78.75" x14ac:dyDescent="0.25">
      <c r="A50" s="24">
        <v>28</v>
      </c>
      <c r="B50" s="29" t="s">
        <v>86</v>
      </c>
      <c r="C50" s="30" t="s">
        <v>79</v>
      </c>
      <c r="D50" s="31">
        <f>0.141</f>
        <v>0.14099999999999999</v>
      </c>
      <c r="E50" s="24">
        <f>4753.8</f>
        <v>4753.8</v>
      </c>
      <c r="F50" s="15"/>
    </row>
    <row r="51" spans="1:6" s="16" customFormat="1" ht="47.25" x14ac:dyDescent="0.25">
      <c r="A51" s="24">
        <v>29</v>
      </c>
      <c r="B51" s="14" t="s">
        <v>87</v>
      </c>
      <c r="C51" s="30" t="s">
        <v>88</v>
      </c>
      <c r="D51" s="31">
        <v>0.253</v>
      </c>
      <c r="E51" s="24">
        <f>79193.6</f>
        <v>79193.600000000006</v>
      </c>
      <c r="F51" s="15"/>
    </row>
    <row r="52" spans="1:6" s="16" customFormat="1" ht="31.5" x14ac:dyDescent="0.25">
      <c r="A52" s="24">
        <v>30</v>
      </c>
      <c r="B52" s="29" t="s">
        <v>89</v>
      </c>
      <c r="C52" s="30" t="s">
        <v>90</v>
      </c>
      <c r="D52" s="31">
        <v>0.13</v>
      </c>
      <c r="E52" s="24">
        <f>11586.6</f>
        <v>11586.6</v>
      </c>
      <c r="F52" s="15"/>
    </row>
    <row r="53" spans="1:6" s="16" customFormat="1" ht="31.5" x14ac:dyDescent="0.25">
      <c r="A53" s="24">
        <v>31</v>
      </c>
      <c r="B53" s="29" t="s">
        <v>91</v>
      </c>
      <c r="C53" s="30" t="s">
        <v>92</v>
      </c>
      <c r="D53" s="31">
        <f>10</f>
        <v>10</v>
      </c>
      <c r="E53" s="24">
        <f>6773</f>
        <v>6773</v>
      </c>
      <c r="F53" s="15"/>
    </row>
    <row r="54" spans="1:6" s="16" customFormat="1" ht="15.75" x14ac:dyDescent="0.25">
      <c r="A54" s="24">
        <v>32</v>
      </c>
      <c r="B54" s="29" t="s">
        <v>93</v>
      </c>
      <c r="C54" s="30" t="s">
        <v>92</v>
      </c>
      <c r="D54" s="31">
        <v>-10</v>
      </c>
      <c r="E54" s="24">
        <f>-1753.8</f>
        <v>-1753.8</v>
      </c>
      <c r="F54" s="15"/>
    </row>
    <row r="55" spans="1:6" s="16" customFormat="1" ht="31.5" x14ac:dyDescent="0.25">
      <c r="A55" s="24">
        <v>33</v>
      </c>
      <c r="B55" s="29" t="s">
        <v>94</v>
      </c>
      <c r="C55" s="30" t="s">
        <v>95</v>
      </c>
      <c r="D55" s="31">
        <v>1.56</v>
      </c>
      <c r="E55" s="24">
        <f>22133.8</f>
        <v>22133.8</v>
      </c>
      <c r="F55" s="15"/>
    </row>
    <row r="56" spans="1:6" s="16" customFormat="1" ht="31.5" x14ac:dyDescent="0.25">
      <c r="A56" s="24">
        <v>34</v>
      </c>
      <c r="B56" s="29" t="s">
        <v>96</v>
      </c>
      <c r="C56" s="30" t="s">
        <v>97</v>
      </c>
      <c r="D56" s="31">
        <f>0.312</f>
        <v>0.312</v>
      </c>
      <c r="E56" s="24">
        <f>53574.6</f>
        <v>53574.6</v>
      </c>
      <c r="F56" s="15"/>
    </row>
    <row r="57" spans="1:6" s="16" customFormat="1" ht="63" x14ac:dyDescent="0.25">
      <c r="A57" s="24">
        <v>35</v>
      </c>
      <c r="B57" s="29" t="s">
        <v>98</v>
      </c>
      <c r="C57" s="30" t="s">
        <v>99</v>
      </c>
      <c r="D57" s="31">
        <f>0.06</f>
        <v>0.06</v>
      </c>
      <c r="E57" s="24">
        <f>53027</f>
        <v>53027</v>
      </c>
      <c r="F57" s="15"/>
    </row>
    <row r="58" spans="1:6" s="16" customFormat="1" ht="31.5" x14ac:dyDescent="0.25">
      <c r="A58" s="24">
        <v>36</v>
      </c>
      <c r="B58" s="32" t="s">
        <v>100</v>
      </c>
      <c r="C58" s="30" t="s">
        <v>101</v>
      </c>
      <c r="D58" s="31">
        <f>0.0574</f>
        <v>5.74E-2</v>
      </c>
      <c r="E58" s="24">
        <f>650</f>
        <v>650</v>
      </c>
      <c r="F58" s="15"/>
    </row>
    <row r="59" spans="1:6" s="16" customFormat="1" ht="78.75" x14ac:dyDescent="0.25">
      <c r="A59" s="24">
        <v>37</v>
      </c>
      <c r="B59" s="32" t="s">
        <v>102</v>
      </c>
      <c r="C59" s="30" t="s">
        <v>103</v>
      </c>
      <c r="D59" s="31">
        <f>0.0574</f>
        <v>5.74E-2</v>
      </c>
      <c r="E59" s="24">
        <f>7586.2</f>
        <v>7586.2</v>
      </c>
      <c r="F59" s="15"/>
    </row>
    <row r="60" spans="1:6" s="16" customFormat="1" ht="78.75" x14ac:dyDescent="0.25">
      <c r="A60" s="24">
        <v>38</v>
      </c>
      <c r="B60" s="32" t="s">
        <v>104</v>
      </c>
      <c r="C60" s="30" t="s">
        <v>105</v>
      </c>
      <c r="D60" s="31">
        <f>5.519</f>
        <v>5.5190000000000001</v>
      </c>
      <c r="E60" s="24">
        <f>111715.6</f>
        <v>111715.6</v>
      </c>
      <c r="F60" s="15"/>
    </row>
    <row r="61" spans="1:6" s="16" customFormat="1" ht="78.75" x14ac:dyDescent="0.25">
      <c r="A61" s="24">
        <v>39</v>
      </c>
      <c r="B61" s="29" t="s">
        <v>106</v>
      </c>
      <c r="C61" s="30" t="s">
        <v>107</v>
      </c>
      <c r="D61" s="31">
        <f>5.519</f>
        <v>5.5190000000000001</v>
      </c>
      <c r="E61" s="24">
        <f>488871.6</f>
        <v>488871.6</v>
      </c>
      <c r="F61" s="15"/>
    </row>
    <row r="62" spans="1:6" s="16" customFormat="1" ht="78.75" x14ac:dyDescent="0.25">
      <c r="A62" s="24">
        <v>40</v>
      </c>
      <c r="B62" s="32" t="s">
        <v>108</v>
      </c>
      <c r="C62" s="30" t="s">
        <v>105</v>
      </c>
      <c r="D62" s="31">
        <f>3.542</f>
        <v>3.5419999999999998</v>
      </c>
      <c r="E62" s="24">
        <f>71696.2</f>
        <v>71696.2</v>
      </c>
      <c r="F62" s="15"/>
    </row>
    <row r="63" spans="1:6" s="16" customFormat="1" ht="78.75" x14ac:dyDescent="0.25">
      <c r="A63" s="24">
        <v>41</v>
      </c>
      <c r="B63" s="29" t="s">
        <v>109</v>
      </c>
      <c r="C63" s="30" t="s">
        <v>79</v>
      </c>
      <c r="D63" s="31">
        <f>3.542+0.046</f>
        <v>3.5879999999999996</v>
      </c>
      <c r="E63" s="24">
        <f>225868.4+2497.4</f>
        <v>228365.8</v>
      </c>
      <c r="F63" s="15"/>
    </row>
    <row r="64" spans="1:6" s="16" customFormat="1" ht="78.75" x14ac:dyDescent="0.25">
      <c r="A64" s="24">
        <v>42</v>
      </c>
      <c r="B64" s="32" t="s">
        <v>110</v>
      </c>
      <c r="C64" s="30" t="s">
        <v>105</v>
      </c>
      <c r="D64" s="31">
        <f>3.8217</f>
        <v>3.8216999999999999</v>
      </c>
      <c r="E64" s="24">
        <f>77360.4</f>
        <v>77360.399999999994</v>
      </c>
      <c r="F64" s="15"/>
    </row>
    <row r="65" spans="1:6" s="16" customFormat="1" ht="78.75" x14ac:dyDescent="0.25">
      <c r="A65" s="24">
        <v>43</v>
      </c>
      <c r="B65" s="29" t="s">
        <v>111</v>
      </c>
      <c r="C65" s="30" t="s">
        <v>79</v>
      </c>
      <c r="D65" s="31">
        <f>3.8217</f>
        <v>3.8216999999999999</v>
      </c>
      <c r="E65" s="24">
        <f>85509.6</f>
        <v>85509.6</v>
      </c>
      <c r="F65" s="15"/>
    </row>
    <row r="66" spans="1:6" s="16" customFormat="1" ht="78.75" x14ac:dyDescent="0.25">
      <c r="A66" s="24">
        <v>44</v>
      </c>
      <c r="B66" s="29" t="s">
        <v>112</v>
      </c>
      <c r="C66" s="30" t="s">
        <v>79</v>
      </c>
      <c r="D66" s="31">
        <f>0.9687</f>
        <v>0.96870000000000001</v>
      </c>
      <c r="E66" s="24">
        <f>34994.8</f>
        <v>34994.800000000003</v>
      </c>
      <c r="F66" s="15"/>
    </row>
    <row r="67" spans="1:6" s="16" customFormat="1" ht="78.75" x14ac:dyDescent="0.25">
      <c r="A67" s="24">
        <v>45</v>
      </c>
      <c r="B67" s="29" t="s">
        <v>113</v>
      </c>
      <c r="C67" s="30" t="s">
        <v>79</v>
      </c>
      <c r="D67" s="31">
        <f>0.98</f>
        <v>0.98</v>
      </c>
      <c r="E67" s="24">
        <f>37475.8</f>
        <v>37475.800000000003</v>
      </c>
      <c r="F67" s="15"/>
    </row>
    <row r="68" spans="1:6" s="16" customFormat="1" ht="78.75" x14ac:dyDescent="0.25">
      <c r="A68" s="24">
        <v>46</v>
      </c>
      <c r="B68" s="29" t="s">
        <v>114</v>
      </c>
      <c r="C68" s="30" t="s">
        <v>79</v>
      </c>
      <c r="D68" s="31">
        <f>0.529</f>
        <v>0.52900000000000003</v>
      </c>
      <c r="E68" s="24">
        <f>23447.6</f>
        <v>23447.599999999999</v>
      </c>
      <c r="F68" s="15"/>
    </row>
    <row r="69" spans="1:6" s="16" customFormat="1" ht="78.75" x14ac:dyDescent="0.25">
      <c r="A69" s="24">
        <v>47</v>
      </c>
      <c r="B69" s="29" t="s">
        <v>115</v>
      </c>
      <c r="C69" s="30" t="s">
        <v>79</v>
      </c>
      <c r="D69" s="31">
        <v>0.1512</v>
      </c>
      <c r="E69" s="24">
        <f>7084.8</f>
        <v>7084.8</v>
      </c>
      <c r="F69" s="15"/>
    </row>
    <row r="70" spans="1:6" s="16" customFormat="1" ht="78.75" x14ac:dyDescent="0.25">
      <c r="A70" s="24">
        <v>48</v>
      </c>
      <c r="B70" s="29" t="s">
        <v>116</v>
      </c>
      <c r="C70" s="30" t="s">
        <v>79</v>
      </c>
      <c r="D70" s="31">
        <v>6.2E-2</v>
      </c>
      <c r="E70" s="24">
        <f>5172.4</f>
        <v>5172.3999999999996</v>
      </c>
      <c r="F70" s="15"/>
    </row>
    <row r="71" spans="1:6" s="16" customFormat="1" ht="78.75" x14ac:dyDescent="0.25">
      <c r="A71" s="24">
        <v>49</v>
      </c>
      <c r="B71" s="29" t="s">
        <v>117</v>
      </c>
      <c r="C71" s="30" t="s">
        <v>79</v>
      </c>
      <c r="D71" s="31">
        <f>0.227</f>
        <v>0.22700000000000001</v>
      </c>
      <c r="E71" s="24">
        <f>5063.6</f>
        <v>5063.6000000000004</v>
      </c>
      <c r="F71" s="15"/>
    </row>
    <row r="72" spans="1:6" s="16" customFormat="1" ht="47.25" x14ac:dyDescent="0.25">
      <c r="A72" s="24">
        <v>50</v>
      </c>
      <c r="B72" s="29" t="s">
        <v>118</v>
      </c>
      <c r="C72" s="30" t="s">
        <v>119</v>
      </c>
      <c r="D72" s="31">
        <f>0.0588</f>
        <v>5.8799999999999998E-2</v>
      </c>
      <c r="E72" s="24">
        <f>2122.4</f>
        <v>2122.4</v>
      </c>
      <c r="F72" s="15"/>
    </row>
    <row r="73" spans="1:6" s="16" customFormat="1" ht="47.25" x14ac:dyDescent="0.25">
      <c r="A73" s="24">
        <v>51</v>
      </c>
      <c r="B73" s="29" t="s">
        <v>120</v>
      </c>
      <c r="C73" s="30" t="s">
        <v>121</v>
      </c>
      <c r="D73" s="31">
        <f>0.1176</f>
        <v>0.1176</v>
      </c>
      <c r="E73" s="24">
        <f>493.6</f>
        <v>493.6</v>
      </c>
      <c r="F73" s="15"/>
    </row>
    <row r="74" spans="1:6" s="16" customFormat="1" ht="31.5" x14ac:dyDescent="0.25">
      <c r="A74" s="24">
        <v>52</v>
      </c>
      <c r="B74" s="29" t="s">
        <v>122</v>
      </c>
      <c r="C74" s="30" t="s">
        <v>123</v>
      </c>
      <c r="D74" s="31">
        <f>0.02</f>
        <v>0.02</v>
      </c>
      <c r="E74" s="24">
        <f>3733</f>
        <v>3733</v>
      </c>
      <c r="F74" s="15"/>
    </row>
    <row r="75" spans="1:6" s="16" customFormat="1" ht="31.5" x14ac:dyDescent="0.25">
      <c r="A75" s="24">
        <v>53</v>
      </c>
      <c r="B75" s="29" t="s">
        <v>124</v>
      </c>
      <c r="C75" s="30" t="s">
        <v>125</v>
      </c>
      <c r="D75" s="31">
        <f>0.0588</f>
        <v>5.8799999999999998E-2</v>
      </c>
      <c r="E75" s="24">
        <f>32708.2</f>
        <v>32708.2</v>
      </c>
      <c r="F75" s="15"/>
    </row>
    <row r="76" spans="1:6" s="16" customFormat="1" ht="47.25" x14ac:dyDescent="0.25">
      <c r="A76" s="24">
        <v>54</v>
      </c>
      <c r="B76" s="29" t="s">
        <v>126</v>
      </c>
      <c r="C76" s="30" t="s">
        <v>127</v>
      </c>
      <c r="D76" s="31">
        <v>0.12</v>
      </c>
      <c r="E76" s="24">
        <f>1711.2</f>
        <v>1711.2</v>
      </c>
      <c r="F76" s="15"/>
    </row>
    <row r="77" spans="1:6" s="16" customFormat="1" ht="47.25" x14ac:dyDescent="0.25">
      <c r="A77" s="24">
        <v>55</v>
      </c>
      <c r="B77" s="29" t="s">
        <v>142</v>
      </c>
      <c r="C77" s="30" t="s">
        <v>45</v>
      </c>
      <c r="D77" s="31">
        <v>1</v>
      </c>
      <c r="E77" s="24">
        <f>9459</f>
        <v>9459</v>
      </c>
      <c r="F77" s="15"/>
    </row>
    <row r="78" spans="1:6" s="16" customFormat="1" ht="47.25" x14ac:dyDescent="0.25">
      <c r="A78" s="24">
        <v>56</v>
      </c>
      <c r="B78" s="29" t="s">
        <v>143</v>
      </c>
      <c r="C78" s="30" t="s">
        <v>45</v>
      </c>
      <c r="D78" s="31">
        <v>1</v>
      </c>
      <c r="E78" s="24">
        <f>42800</f>
        <v>42800</v>
      </c>
      <c r="F78" s="15"/>
    </row>
    <row r="79" spans="1:6" s="16" customFormat="1" ht="47.25" x14ac:dyDescent="0.25">
      <c r="A79" s="24">
        <v>57</v>
      </c>
      <c r="B79" s="29" t="s">
        <v>144</v>
      </c>
      <c r="C79" s="30" t="s">
        <v>99</v>
      </c>
      <c r="D79" s="31">
        <v>0.06</v>
      </c>
      <c r="E79" s="24">
        <f>24006.8</f>
        <v>24006.799999999999</v>
      </c>
      <c r="F79" s="15"/>
    </row>
    <row r="80" spans="1:6" s="16" customFormat="1" ht="47.25" x14ac:dyDescent="0.25">
      <c r="A80" s="24">
        <v>58</v>
      </c>
      <c r="B80" s="29" t="s">
        <v>145</v>
      </c>
      <c r="C80" s="30" t="s">
        <v>99</v>
      </c>
      <c r="D80" s="31">
        <v>-0.06</v>
      </c>
      <c r="E80" s="24">
        <f>-15789.4</f>
        <v>-15789.4</v>
      </c>
      <c r="F80" s="15"/>
    </row>
    <row r="81" spans="1:6" s="16" customFormat="1" ht="31.5" x14ac:dyDescent="0.25">
      <c r="A81" s="24">
        <v>59</v>
      </c>
      <c r="B81" s="29" t="s">
        <v>128</v>
      </c>
      <c r="C81" s="30" t="s">
        <v>37</v>
      </c>
      <c r="D81" s="31">
        <v>11</v>
      </c>
      <c r="E81" s="24">
        <f>8551.4</f>
        <v>8551.4</v>
      </c>
      <c r="F81" s="15"/>
    </row>
    <row r="82" spans="1:6" s="16" customFormat="1" ht="15.75" x14ac:dyDescent="0.25">
      <c r="A82" s="24">
        <v>60</v>
      </c>
      <c r="B82" s="29" t="s">
        <v>129</v>
      </c>
      <c r="C82" s="30" t="s">
        <v>37</v>
      </c>
      <c r="D82" s="31">
        <f>11</f>
        <v>11</v>
      </c>
      <c r="E82" s="24">
        <v>60199.8</v>
      </c>
      <c r="F82" s="15"/>
    </row>
    <row r="83" spans="1:6" s="16" customFormat="1" ht="15.75" x14ac:dyDescent="0.25">
      <c r="A83" s="24">
        <v>61</v>
      </c>
      <c r="B83" s="29" t="s">
        <v>130</v>
      </c>
      <c r="C83" s="30" t="s">
        <v>34</v>
      </c>
      <c r="D83" s="31">
        <v>2.7</v>
      </c>
      <c r="E83" s="24">
        <f>77483.6</f>
        <v>77483.600000000006</v>
      </c>
      <c r="F83" s="15"/>
    </row>
    <row r="84" spans="1:6" s="16" customFormat="1" ht="15.75" x14ac:dyDescent="0.25">
      <c r="A84" s="24">
        <v>62</v>
      </c>
      <c r="B84" s="29" t="s">
        <v>132</v>
      </c>
      <c r="C84" s="30" t="s">
        <v>34</v>
      </c>
      <c r="D84" s="31">
        <f>0.3</f>
        <v>0.3</v>
      </c>
      <c r="E84" s="24">
        <f>15445.8</f>
        <v>15445.8</v>
      </c>
      <c r="F84" s="15"/>
    </row>
    <row r="85" spans="1:6" s="16" customFormat="1" ht="15.75" x14ac:dyDescent="0.25">
      <c r="A85" s="24">
        <v>63</v>
      </c>
      <c r="B85" s="29" t="s">
        <v>131</v>
      </c>
      <c r="C85" s="30" t="s">
        <v>12</v>
      </c>
      <c r="D85" s="31">
        <v>0.59</v>
      </c>
      <c r="E85" s="24">
        <f>142006</f>
        <v>142006</v>
      </c>
      <c r="F85" s="15"/>
    </row>
    <row r="86" spans="1:6" s="16" customFormat="1" ht="15.75" x14ac:dyDescent="0.25">
      <c r="A86" s="24">
        <v>64</v>
      </c>
      <c r="B86" s="29" t="s">
        <v>133</v>
      </c>
      <c r="C86" s="30" t="s">
        <v>12</v>
      </c>
      <c r="D86" s="31">
        <f>0.13</f>
        <v>0.13</v>
      </c>
      <c r="E86" s="24">
        <f>3375.8</f>
        <v>3375.8</v>
      </c>
      <c r="F86" s="15"/>
    </row>
    <row r="87" spans="1:6" s="16" customFormat="1" ht="15.75" x14ac:dyDescent="0.25">
      <c r="A87" s="24">
        <v>65</v>
      </c>
      <c r="B87" s="29" t="s">
        <v>43</v>
      </c>
      <c r="C87" s="30" t="s">
        <v>12</v>
      </c>
      <c r="D87" s="31">
        <f>0.01</f>
        <v>0.01</v>
      </c>
      <c r="E87" s="24">
        <f>9465.6</f>
        <v>9465.6</v>
      </c>
      <c r="F87" s="15"/>
    </row>
    <row r="88" spans="1:6" s="16" customFormat="1" ht="31.5" x14ac:dyDescent="0.25">
      <c r="A88" s="24">
        <v>66</v>
      </c>
      <c r="B88" s="29" t="s">
        <v>134</v>
      </c>
      <c r="C88" s="30" t="s">
        <v>34</v>
      </c>
      <c r="D88" s="31">
        <f>0.018</f>
        <v>1.7999999999999999E-2</v>
      </c>
      <c r="E88" s="24">
        <f>1052.2</f>
        <v>1052.2</v>
      </c>
      <c r="F88" s="15"/>
    </row>
    <row r="89" spans="1:6" s="16" customFormat="1" ht="15.75" x14ac:dyDescent="0.25">
      <c r="A89" s="24">
        <v>67</v>
      </c>
      <c r="B89" s="29" t="s">
        <v>135</v>
      </c>
      <c r="C89" s="30" t="s">
        <v>37</v>
      </c>
      <c r="D89" s="31">
        <v>1</v>
      </c>
      <c r="E89" s="24">
        <f>296.4</f>
        <v>296.39999999999998</v>
      </c>
      <c r="F89" s="15"/>
    </row>
    <row r="90" spans="1:6" s="16" customFormat="1" ht="15.75" x14ac:dyDescent="0.25">
      <c r="A90" s="24">
        <v>68</v>
      </c>
      <c r="B90" s="29" t="s">
        <v>126</v>
      </c>
      <c r="C90" s="30" t="s">
        <v>73</v>
      </c>
      <c r="D90" s="31">
        <f>2</f>
        <v>2</v>
      </c>
      <c r="E90" s="24">
        <f>504.8</f>
        <v>504.8</v>
      </c>
      <c r="F90" s="15"/>
    </row>
    <row r="91" spans="1:6" s="16" customFormat="1" ht="31.5" x14ac:dyDescent="0.25">
      <c r="A91" s="24">
        <v>69</v>
      </c>
      <c r="B91" s="29" t="s">
        <v>136</v>
      </c>
      <c r="C91" s="30" t="s">
        <v>60</v>
      </c>
      <c r="D91" s="31">
        <f>0.03</f>
        <v>0.03</v>
      </c>
      <c r="E91" s="24">
        <f>3629.2</f>
        <v>3629.2</v>
      </c>
      <c r="F91" s="15"/>
    </row>
    <row r="92" spans="1:6" s="16" customFormat="1" ht="31.5" x14ac:dyDescent="0.25">
      <c r="A92" s="24">
        <v>70</v>
      </c>
      <c r="B92" s="29" t="s">
        <v>137</v>
      </c>
      <c r="C92" s="30" t="s">
        <v>60</v>
      </c>
      <c r="D92" s="31">
        <f>0.01</f>
        <v>0.01</v>
      </c>
      <c r="E92" s="24">
        <f>499.4</f>
        <v>499.4</v>
      </c>
      <c r="F92" s="15"/>
    </row>
    <row r="93" spans="1:6" s="16" customFormat="1" ht="47.25" x14ac:dyDescent="0.25">
      <c r="A93" s="24">
        <v>71</v>
      </c>
      <c r="B93" s="29" t="s">
        <v>138</v>
      </c>
      <c r="C93" s="30" t="s">
        <v>139</v>
      </c>
      <c r="D93" s="31">
        <f>6</f>
        <v>6</v>
      </c>
      <c r="E93" s="24">
        <f>34339.2</f>
        <v>34339.199999999997</v>
      </c>
      <c r="F93" s="15"/>
    </row>
    <row r="94" spans="1:6" s="16" customFormat="1" ht="78.75" x14ac:dyDescent="0.25">
      <c r="A94" s="24">
        <v>72</v>
      </c>
      <c r="B94" s="29" t="s">
        <v>149</v>
      </c>
      <c r="C94" s="30" t="s">
        <v>140</v>
      </c>
      <c r="D94" s="31">
        <f>0.22</f>
        <v>0.22</v>
      </c>
      <c r="E94" s="24">
        <f>60139.6</f>
        <v>60139.6</v>
      </c>
      <c r="F94" s="15"/>
    </row>
    <row r="95" spans="1:6" s="16" customFormat="1" ht="31.5" x14ac:dyDescent="0.25">
      <c r="A95" s="24">
        <v>73</v>
      </c>
      <c r="B95" s="33" t="s">
        <v>150</v>
      </c>
      <c r="C95" s="30" t="s">
        <v>151</v>
      </c>
      <c r="D95" s="31">
        <f>1+1</f>
        <v>2</v>
      </c>
      <c r="E95" s="24">
        <f>800+800</f>
        <v>1600</v>
      </c>
      <c r="F95" s="15"/>
    </row>
    <row r="96" spans="1:6" s="16" customFormat="1" ht="47.25" x14ac:dyDescent="0.25">
      <c r="A96" s="24">
        <v>74</v>
      </c>
      <c r="B96" s="14" t="s">
        <v>41</v>
      </c>
      <c r="C96" s="14" t="s">
        <v>42</v>
      </c>
      <c r="D96" s="27">
        <v>40</v>
      </c>
      <c r="E96" s="27">
        <v>26000</v>
      </c>
      <c r="F96" s="15"/>
    </row>
    <row r="97" spans="1:10" s="16" customFormat="1" ht="31.5" x14ac:dyDescent="0.25">
      <c r="A97" s="24">
        <v>75</v>
      </c>
      <c r="B97" s="14" t="s">
        <v>39</v>
      </c>
      <c r="C97" s="14" t="s">
        <v>40</v>
      </c>
      <c r="D97" s="27">
        <f>330+420+60+120+60+240+100</f>
        <v>1330</v>
      </c>
      <c r="E97" s="27">
        <f>10999+13999+2000+6000+2500+12000+4167</f>
        <v>51665</v>
      </c>
      <c r="F97" s="15"/>
    </row>
    <row r="98" spans="1:10" s="1" customFormat="1" ht="15.75" x14ac:dyDescent="0.25">
      <c r="A98" s="7"/>
      <c r="B98" s="8"/>
      <c r="C98" s="8"/>
      <c r="D98" s="7"/>
      <c r="E98" s="9">
        <f>SUM(E23:E97)</f>
        <v>2535983.8000000003</v>
      </c>
      <c r="F98" s="4"/>
    </row>
    <row r="99" spans="1:10" ht="15.75" x14ac:dyDescent="0.25">
      <c r="A99" s="7"/>
      <c r="B99" s="8" t="s">
        <v>8</v>
      </c>
      <c r="C99" s="7"/>
      <c r="D99" s="7"/>
      <c r="E99" s="9">
        <f>E21+E98</f>
        <v>2772631.0000000005</v>
      </c>
      <c r="F99" s="4"/>
    </row>
    <row r="100" spans="1:10" ht="15.75" x14ac:dyDescent="0.25">
      <c r="A100" s="7"/>
      <c r="B100" s="8"/>
      <c r="C100" s="7"/>
      <c r="D100" s="7"/>
      <c r="E100" s="7"/>
      <c r="F100" s="4"/>
    </row>
    <row r="101" spans="1:10" ht="15.75" x14ac:dyDescent="0.25">
      <c r="A101" s="10"/>
      <c r="B101" s="10"/>
      <c r="C101" s="10"/>
      <c r="D101" s="10"/>
      <c r="E101" s="10"/>
      <c r="F101" s="4"/>
      <c r="J101" t="s">
        <v>26</v>
      </c>
    </row>
    <row r="102" spans="1:10" ht="15.75" x14ac:dyDescent="0.25">
      <c r="A102" s="10"/>
      <c r="B102" s="10" t="s">
        <v>15</v>
      </c>
      <c r="C102" s="10" t="s">
        <v>28</v>
      </c>
      <c r="D102" s="10"/>
      <c r="E102" s="10"/>
      <c r="F102" s="1"/>
    </row>
    <row r="103" spans="1:10" x14ac:dyDescent="0.25">
      <c r="A103" s="2"/>
      <c r="B103" s="2"/>
      <c r="C103" s="2"/>
      <c r="D103" s="2"/>
      <c r="E103" s="2"/>
      <c r="F103" s="1"/>
    </row>
    <row r="104" spans="1:10" x14ac:dyDescent="0.25">
      <c r="A104" s="2"/>
      <c r="B104" s="2"/>
      <c r="C104" s="2"/>
      <c r="D104" s="2"/>
      <c r="E104" s="2"/>
      <c r="F104" s="1"/>
    </row>
    <row r="105" spans="1:10" x14ac:dyDescent="0.25">
      <c r="A105" s="2"/>
      <c r="B105" s="2" t="s">
        <v>16</v>
      </c>
      <c r="C105" s="2"/>
      <c r="D105" s="17"/>
      <c r="E105" s="2"/>
      <c r="F105" s="13"/>
      <c r="G105" s="13"/>
    </row>
    <row r="106" spans="1:10" x14ac:dyDescent="0.25">
      <c r="A106" s="2"/>
      <c r="B106" s="2"/>
      <c r="C106" s="2"/>
      <c r="D106" s="2"/>
      <c r="E106" s="2"/>
      <c r="F106" s="13"/>
      <c r="G106" s="13"/>
    </row>
    <row r="107" spans="1:10" x14ac:dyDescent="0.25">
      <c r="A107" s="2"/>
      <c r="B107" s="2"/>
      <c r="C107" s="2" t="s">
        <v>29</v>
      </c>
      <c r="D107" s="17">
        <f>5137.4+12683.8+5238.8+5386.8+5238.6+147933.6+7166.2+10976+13924.2+7248.2+9684.2+6029.4</f>
        <v>236647.20000000004</v>
      </c>
      <c r="E107" s="17"/>
      <c r="F107" s="13"/>
      <c r="G107" s="13"/>
    </row>
    <row r="108" spans="1:10" x14ac:dyDescent="0.25">
      <c r="A108" s="2"/>
      <c r="B108" s="2"/>
      <c r="C108" s="2" t="s">
        <v>30</v>
      </c>
      <c r="D108" s="2">
        <f>41531.4+14128.4+7464.4+2986.2+0+110152.6+0+350985.8+1910938.8+64898.4+15930.8+16967</f>
        <v>2535983.7999999998</v>
      </c>
      <c r="E108" s="2"/>
      <c r="F108" s="13">
        <f>D108-E98</f>
        <v>0</v>
      </c>
    </row>
    <row r="109" spans="1:10" x14ac:dyDescent="0.25">
      <c r="A109" s="2"/>
      <c r="B109" s="2"/>
      <c r="C109" s="2"/>
      <c r="D109" s="17">
        <f>D107+D108</f>
        <v>2772631</v>
      </c>
      <c r="E109" s="17"/>
    </row>
    <row r="110" spans="1:10" x14ac:dyDescent="0.25">
      <c r="A110" s="2"/>
      <c r="B110" s="2"/>
      <c r="C110" s="2" t="s">
        <v>31</v>
      </c>
      <c r="D110" s="17">
        <f>26812.2+46668.8+12703+8373+5238.6+258086.2+7166.2+361961.8+1924863+72146.6+25615+22996.4</f>
        <v>2772630.8</v>
      </c>
      <c r="E110" s="2"/>
    </row>
    <row r="111" spans="1:10" x14ac:dyDescent="0.25">
      <c r="A111" s="2"/>
      <c r="B111" s="2"/>
      <c r="C111" s="2"/>
      <c r="D111" s="2"/>
      <c r="E111" s="17"/>
    </row>
    <row r="1158" spans="7:7" x14ac:dyDescent="0.25">
      <c r="G1158" t="s">
        <v>27</v>
      </c>
    </row>
    <row r="1160" spans="7:7" x14ac:dyDescent="0.25">
      <c r="G1160" t="s">
        <v>25</v>
      </c>
    </row>
  </sheetData>
  <pageMargins left="0.78740157480314965" right="0.31496062992125984" top="0.35433070866141736" bottom="0.35433070866141736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2023-01-20T08:17:11Z</cp:lastPrinted>
  <dcterms:created xsi:type="dcterms:W3CDTF">2016-09-29T06:37:31Z</dcterms:created>
  <dcterms:modified xsi:type="dcterms:W3CDTF">2023-01-20T08:19:02Z</dcterms:modified>
</cp:coreProperties>
</file>