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4" i="1" l="1"/>
  <c r="D94" i="1"/>
  <c r="E20" i="1"/>
  <c r="D20" i="1"/>
  <c r="E21" i="1"/>
  <c r="D21" i="1"/>
  <c r="E15" i="1"/>
  <c r="E11" i="1"/>
  <c r="D11" i="1"/>
  <c r="E19" i="1"/>
  <c r="D108" i="1"/>
  <c r="D106" i="1"/>
  <c r="D105" i="1"/>
  <c r="E71" i="1" l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77" i="1"/>
  <c r="D77" i="1"/>
  <c r="E78" i="1"/>
  <c r="D78" i="1"/>
  <c r="E25" i="1"/>
  <c r="E83" i="1" l="1"/>
  <c r="D83" i="1"/>
  <c r="E81" i="1"/>
  <c r="D81" i="1"/>
  <c r="E80" i="1"/>
  <c r="D80" i="1"/>
  <c r="E79" i="1"/>
  <c r="D79" i="1"/>
  <c r="D64" i="1"/>
  <c r="E63" i="1"/>
  <c r="E39" i="1"/>
  <c r="D39" i="1"/>
  <c r="E38" i="1"/>
  <c r="D38" i="1"/>
  <c r="E29" i="1"/>
  <c r="D29" i="1"/>
  <c r="E37" i="1"/>
  <c r="D37" i="1"/>
  <c r="E36" i="1"/>
  <c r="D36" i="1"/>
  <c r="E30" i="1"/>
  <c r="D30" i="1"/>
  <c r="D25" i="1"/>
  <c r="E35" i="1"/>
  <c r="D35" i="1"/>
  <c r="E34" i="1"/>
  <c r="D34" i="1"/>
  <c r="E22" i="1"/>
  <c r="D22" i="1"/>
  <c r="E12" i="1" l="1"/>
  <c r="E14" i="1"/>
  <c r="E16" i="1"/>
  <c r="E13" i="1"/>
  <c r="E18" i="1"/>
  <c r="E84" i="1"/>
  <c r="D84" i="1"/>
  <c r="E41" i="1"/>
  <c r="D41" i="1"/>
  <c r="E40" i="1"/>
  <c r="D40" i="1"/>
  <c r="E23" i="1" l="1"/>
  <c r="G23" i="1" s="1"/>
  <c r="E82" i="1"/>
  <c r="D82" i="1"/>
  <c r="E58" i="1"/>
  <c r="D58" i="1"/>
  <c r="E85" i="1"/>
  <c r="D85" i="1"/>
  <c r="E72" i="1"/>
  <c r="D72" i="1"/>
  <c r="E43" i="1"/>
  <c r="D43" i="1"/>
  <c r="E42" i="1"/>
  <c r="D42" i="1"/>
  <c r="E88" i="1"/>
  <c r="D88" i="1"/>
  <c r="E87" i="1"/>
  <c r="D87" i="1"/>
  <c r="E76" i="1"/>
  <c r="D76" i="1"/>
  <c r="E75" i="1"/>
  <c r="D75" i="1"/>
  <c r="E74" i="1"/>
  <c r="D74" i="1"/>
  <c r="E28" i="1"/>
  <c r="D28" i="1"/>
  <c r="D12" i="1"/>
  <c r="E86" i="1" l="1"/>
  <c r="D86" i="1"/>
  <c r="E56" i="1"/>
  <c r="D56" i="1"/>
  <c r="D14" i="1"/>
  <c r="Q113" i="1"/>
  <c r="E96" i="1"/>
  <c r="Q114" i="1"/>
  <c r="D107" i="1" l="1"/>
  <c r="E97" i="1" l="1"/>
</calcChain>
</file>

<file path=xl/sharedStrings.xml><?xml version="1.0" encoding="utf-8"?>
<sst xmlns="http://schemas.openxmlformats.org/spreadsheetml/2006/main" count="192" uniqueCount="140">
  <si>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</si>
  <si>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</si>
  <si>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</si>
  <si>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</si>
  <si>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</si>
  <si>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</si>
  <si>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</si>
  <si>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</si>
  <si>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накаливания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</si>
  <si>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</si>
  <si>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</si>
  <si>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</si>
  <si>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</si>
  <si>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</si>
  <si>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</si>
  <si>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</si>
  <si>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Установка хомутов диаметром трубопроводов до 100мм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</si>
  <si>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</si>
  <si>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</si>
  <si>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</si>
  <si>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</si>
  <si>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</si>
  <si>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</si>
  <si>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</si>
  <si>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</si>
  <si>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</si>
  <si>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шт</t>
  </si>
  <si>
    <t>Очистка канализационной сети внутренней</t>
  </si>
  <si>
    <t>10шт</t>
  </si>
  <si>
    <t>Ремонт групповых щитков на лестничной клетке со сменой автоматов</t>
  </si>
  <si>
    <t>,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</si>
  <si>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</si>
  <si>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</si>
  <si>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</si>
  <si>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</si>
  <si>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</si>
  <si>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</si>
  <si>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</si>
  <si>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Смена выключателей</t>
  </si>
  <si>
    <t>1 врезка</t>
  </si>
  <si>
    <t xml:space="preserve">                                        по улице Заречная</t>
  </si>
  <si>
    <t>м2</t>
  </si>
  <si>
    <t>Смена отдельных участков трубопроводов с заготовкой в построечных условиях диам.до 20мм</t>
  </si>
  <si>
    <t>Смена отдельных участков трубопроводов с заготовкой в построечных условиях диам.до 32мм</t>
  </si>
  <si>
    <t>Смена внутренних трубопроводов из стальных труб диам.до 32мм</t>
  </si>
  <si>
    <t>Прокладка внутренних трубопроводов водоснабжения и отопления из полипропиленовых труб:32мм</t>
  </si>
  <si>
    <t>Ремонт силового предохранительного шкафа</t>
  </si>
  <si>
    <t>мин</t>
  </si>
  <si>
    <t>Механизированная уборка снега на придомовой территории</t>
  </si>
  <si>
    <t>100м2 покрытия</t>
  </si>
  <si>
    <t>100м2 окрашиваемой поверхности</t>
  </si>
  <si>
    <t>Услуги трактора,экскаватора-погрузчика,погрузка и вывоз снега со складированием</t>
  </si>
  <si>
    <t>м3</t>
  </si>
  <si>
    <t>100м2</t>
  </si>
  <si>
    <t>100м</t>
  </si>
  <si>
    <t>Короба пластмассовые шириной до 40мм</t>
  </si>
  <si>
    <t>Смена задвижек на шаровые краны диам. 100мм</t>
  </si>
  <si>
    <t>100 соединений</t>
  </si>
  <si>
    <t>Прокладка внутренних трубопроводов водоснабжения и отопления из полипропиленовых труб:25мм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</si>
  <si>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диаметр:25мм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</si>
  <si>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диаметр:32мм</t>
  </si>
  <si>
    <t>Смена светильников с лампами накаливания на светодиодные</t>
  </si>
  <si>
    <t>100м2 отремонтированной поверхности</t>
  </si>
  <si>
    <t>имущества МКД, выполненных за 2022  года на жилом доме № 4</t>
  </si>
  <si>
    <t>Смена дверных приборов замки навесные</t>
  </si>
  <si>
    <t>100шт. приборов</t>
  </si>
  <si>
    <t>Установка блоков в наружных и внутренних дверных проемах в каменных стенах, площадь проема до 3 м2</t>
  </si>
  <si>
    <t>100м2 проема</t>
  </si>
  <si>
    <t>Обивка дверей кровельной сталью: взакрой</t>
  </si>
  <si>
    <t>Разборка трубопроводов из водогазопроводных труб диаметром до 63мм</t>
  </si>
  <si>
    <t>Сборка узла трубопровода водоснабжения и отопления из многослойного полипропилена аримированного стекловолокном,раструбная сварка,наружный диаметр:40мм</t>
  </si>
  <si>
    <t>Прокладка внутренних трубопроводов водоснабжения и отпления из многослойных полипропиленовых труб, из ранее собранных узлов,наружным диаметром:40мм</t>
  </si>
  <si>
    <t>Ремонт и восстановление герметизации коробок окон и балконных дверей монтажной пеной</t>
  </si>
  <si>
    <t>100м восстановленной герметизации стыков</t>
  </si>
  <si>
    <t>Установка рейки добора</t>
  </si>
  <si>
    <t>Установка и крепление наличников</t>
  </si>
  <si>
    <t>100м коробок блоков</t>
  </si>
  <si>
    <t>Улучшенная окраска масляными составами по дереву заполнений дверных проемов</t>
  </si>
  <si>
    <t>Очистка снега с крыш при толщине слоя: свыше 10 ло 20 см(козырьки)</t>
  </si>
  <si>
    <t>Добавлять на каждые следующие 10см увеличения толщины слоя</t>
  </si>
  <si>
    <t>Чистка крыши от снега кв 186,33</t>
  </si>
  <si>
    <t>Ремонт групповых щитков со сменой автоматов</t>
  </si>
  <si>
    <t>100шт.</t>
  </si>
  <si>
    <t>Ремонт оконных переплетов с заменой брусков из профилированных заготовок</t>
  </si>
  <si>
    <t>100створок или глухих переплетов</t>
  </si>
  <si>
    <t>Смена стекол толщиной 2-3 мм на штапиках при площади стекла до 0,25м2</t>
  </si>
  <si>
    <t>100м2 остекления</t>
  </si>
  <si>
    <t>Смена стекол толщиной 4-6мм на штапиках при площади стекла до 0,5м2</t>
  </si>
  <si>
    <t>Смена оконных приборов: фрамужные приборы</t>
  </si>
  <si>
    <t>100шт.приборов</t>
  </si>
  <si>
    <t>Укрепление оконных и дверных коробок без конопатки</t>
  </si>
  <si>
    <t>100 коробок</t>
  </si>
  <si>
    <t>Установка на анкера противопожарных дверей:однопольных</t>
  </si>
  <si>
    <t>Смена досок на скамейках до 3 шт. в одном месте</t>
  </si>
  <si>
    <t>100м доски</t>
  </si>
  <si>
    <t>Ремонт кровельного покрытия козырька кв 116</t>
  </si>
  <si>
    <t>услуга</t>
  </si>
  <si>
    <t>Рытье ям для установки стоек</t>
  </si>
  <si>
    <t>100ям</t>
  </si>
  <si>
    <t>Усиление железобетоном с установкой скамейки</t>
  </si>
  <si>
    <t>1м3/шт</t>
  </si>
  <si>
    <t>Простая масляная окраска ранее окрашенных скамеек без подготовки с расчисткой старой краски до 10%</t>
  </si>
  <si>
    <t>Устройство покрытий из тротуарной плитки</t>
  </si>
  <si>
    <t>10м2</t>
  </si>
  <si>
    <t>Врезка в действующие внутренние сети трубопроводов отопления и водоснабжения диам.32мм</t>
  </si>
  <si>
    <t>Смена задвижек на шаровые краны диам. 50мм</t>
  </si>
  <si>
    <t>Демонтаж и монтаж металлических дверей</t>
  </si>
  <si>
    <t>Установка манометров</t>
  </si>
  <si>
    <t>1компл.</t>
  </si>
  <si>
    <t>Короба пластмассовые шириной до 63мм</t>
  </si>
  <si>
    <t>Короба пластмассовые шириной до 120мм</t>
  </si>
  <si>
    <t>Выемка стекол</t>
  </si>
  <si>
    <t>Остекление поликарбонатом</t>
  </si>
  <si>
    <t>Ремонт и восстановление уплотнений стыков пркладками ПРП в 1 ряд в стенах, оконных, дверных блоках насухо</t>
  </si>
  <si>
    <t>Смена дверных приборов ручки скобы</t>
  </si>
  <si>
    <t>Откидной пандус из оцинкованной стали для детских колясок под.№1</t>
  </si>
  <si>
    <t>Ремонт кровельного покрытия лоджии кв 78,189</t>
  </si>
  <si>
    <t>Смена существующих рулонных кровель на покрытия из наплавляемых рулонных материалов в 2 слоя</t>
  </si>
  <si>
    <t>Разборка трубопроводов из водогазопроводных труб диаметром до 32мм</t>
  </si>
  <si>
    <t>Смена кранов на шаровые краны диам.15,20,25,32 мм</t>
  </si>
  <si>
    <t>Врезка в действующие внутренние сети трубопроводов отопления и водоснабжения диам.15мм</t>
  </si>
  <si>
    <t>Постановка заплат из листовой кровельной стали оцинкованной размером1/2 листа(парапет)</t>
  </si>
  <si>
    <t>100заплат</t>
  </si>
  <si>
    <t>Устройство козырьков</t>
  </si>
  <si>
    <t>1м2 горизонтальной проекции</t>
  </si>
  <si>
    <t>Ремонт бетонных ступеней</t>
  </si>
  <si>
    <t>100 ступеней</t>
  </si>
  <si>
    <t>Улучшенная масляная окраска ранее окрашенных окон за 2 раза с расчисткой старой краски до 35%(подооконники)</t>
  </si>
  <si>
    <t>Улучшенная масляная окраска ранее окрашенных стен за 2 раза с расчисткой старой краски до 10%(сапожок)</t>
  </si>
  <si>
    <t>Улучшенная масляная окраска ранее окрашенных стен за 2 раза с расчисткой старой краски до 35%</t>
  </si>
  <si>
    <t>Улучшенная масляная окраска ранее окрашенных полов за 2 раза с расчисткой старой краски до 35%</t>
  </si>
  <si>
    <t>Ремонт штукатурки внутренних стен по камню и бетону раствором</t>
  </si>
  <si>
    <t>Ремонт штукатурки лестничных маршей и площадок</t>
  </si>
  <si>
    <t>Окраска клеевыми составами улучшенная</t>
  </si>
  <si>
    <t>Окраска водно-дисперсионными акриловыми составами улучшенная по штукатурке стен</t>
  </si>
  <si>
    <t>Улучшенная масляная окраска ранее окрашенных окон за один раз с расчисткой старой краски до 10%</t>
  </si>
  <si>
    <t>Окраска масляными составами ранее окрашенных окон за один раз с расчисткой старой краски до 10%</t>
  </si>
  <si>
    <t>Окраска торцов лестничных маршей</t>
  </si>
  <si>
    <t>Механизированная обработка придомовой территории ПСС</t>
  </si>
  <si>
    <t>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</si>
</sst>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3"/>
  <sheetViews>
    <sheetView tabSelected="1" topLeftCell="A37" zoomScale="118" zoomScaleNormal="118" workbookViewId="0">
      <selection activeCell="E103" sqref="A1:E103"/>
    </sheetView>
  </sheetViews>
  <sheetFormatPr defaultRowHeight="15" x14ac:dyDescent="0.25"/>
  <cols>
    <col min="1" max="1" width="5.140625" customWidth="1"/>
    <col min="2" max="2" width="45.140625" customWidth="1"/>
    <col min="3" max="3" width="10.85546875" customWidth="1"/>
    <col min="4" max="4" width="13.42578125" customWidth="1"/>
    <col min="5" max="5" width="16.7109375" customWidth="1"/>
    <col min="7" max="7" width="12.85546875" customWidth="1"/>
    <col min="9" max="9" width="10.5703125" customWidth="1"/>
    <col min="11" max="11" width="11.7109375" customWidth="1"/>
    <col min="13" max="13" width="11.28515625" customWidth="1"/>
    <col min="15" max="15" width="11.42578125" customWidth="1"/>
    <col min="17" max="17" width="13.14062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19</v>
      </c>
      <c r="C3" s="3"/>
      <c r="D3" s="3"/>
      <c r="E3" s="3"/>
      <c r="F3" s="1"/>
    </row>
    <row r="4" spans="1:6" ht="15.75" x14ac:dyDescent="0.25">
      <c r="A4" s="4"/>
      <c r="B4" s="3" t="s">
        <v>63</v>
      </c>
      <c r="C4" s="3"/>
      <c r="D4" s="3"/>
      <c r="E4" s="3"/>
      <c r="F4" s="1"/>
    </row>
    <row r="5" spans="1:6" ht="15.75" x14ac:dyDescent="0.25">
      <c r="A5" s="4"/>
      <c r="B5" s="3" t="s">
        <v>40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ht="15.75" x14ac:dyDescent="0.25">
      <c r="A10" s="7">
        <v>1</v>
      </c>
      <c r="B10" s="8" t="s">
        <v>8</v>
      </c>
      <c r="C10" s="8" t="s">
        <v>13</v>
      </c>
      <c r="D10" s="7"/>
      <c r="E10" s="7"/>
      <c r="F10" s="4"/>
    </row>
    <row r="11" spans="1:6" ht="15.75" x14ac:dyDescent="0.25">
      <c r="A11" s="7">
        <v>2</v>
      </c>
      <c r="B11" s="8" t="s">
        <v>37</v>
      </c>
      <c r="C11" s="8" t="s">
        <v>13</v>
      </c>
      <c r="D11" s="7">
        <f>0.05+0.05+0.09+0.02</f>
        <v>0.21</v>
      </c>
      <c r="E11" s="7">
        <f>156.8+630.4+1260.8+1454.6+331.6</f>
        <v>3834.2</v>
      </c>
      <c r="F11" s="4"/>
    </row>
    <row r="12" spans="1:6" s="1" customFormat="1" ht="15.75" x14ac:dyDescent="0.25">
      <c r="A12" s="7">
        <v>3</v>
      </c>
      <c r="B12" s="8" t="s">
        <v>38</v>
      </c>
      <c r="C12" s="8" t="s">
        <v>13</v>
      </c>
      <c r="D12" s="7">
        <f>0.01+0.04</f>
        <v>0.05</v>
      </c>
      <c r="E12" s="7">
        <f>279.8+1115.2</f>
        <v>1395</v>
      </c>
      <c r="F12" s="4"/>
    </row>
    <row r="13" spans="1:6" s="1" customFormat="1" ht="15.75" x14ac:dyDescent="0.25">
      <c r="A13" s="7">
        <v>4</v>
      </c>
      <c r="B13" s="8" t="s">
        <v>46</v>
      </c>
      <c r="C13" s="8" t="s">
        <v>13</v>
      </c>
      <c r="D13" s="7">
        <v>0.01</v>
      </c>
      <c r="E13" s="7">
        <f>6289.4</f>
        <v>6289.4</v>
      </c>
      <c r="F13" s="4"/>
    </row>
    <row r="14" spans="1:6" s="1" customFormat="1" ht="31.5" x14ac:dyDescent="0.25">
      <c r="A14" s="7">
        <v>5</v>
      </c>
      <c r="B14" s="8" t="s">
        <v>29</v>
      </c>
      <c r="C14" s="8" t="s">
        <v>13</v>
      </c>
      <c r="D14" s="7">
        <f>0.01</f>
        <v>0.01</v>
      </c>
      <c r="E14" s="7">
        <f>4946</f>
        <v>4946</v>
      </c>
      <c r="F14" s="4"/>
    </row>
    <row r="15" spans="1:6" s="1" customFormat="1" ht="47.25" x14ac:dyDescent="0.25">
      <c r="A15" s="7">
        <v>6</v>
      </c>
      <c r="B15" s="8" t="s">
        <v>24</v>
      </c>
      <c r="C15" s="8" t="s">
        <v>25</v>
      </c>
      <c r="D15" s="7">
        <v>0.45</v>
      </c>
      <c r="E15" s="7">
        <f>3278.4+3278.4+3343.6+3343.6+3343.6+3343.6+3595.4+3595.4+3595.4+3849.4+3849.4+3849.4</f>
        <v>42265.600000000006</v>
      </c>
      <c r="F15" s="4"/>
    </row>
    <row r="16" spans="1:6" ht="47.25" x14ac:dyDescent="0.25">
      <c r="A16" s="7">
        <v>7</v>
      </c>
      <c r="B16" s="8" t="s">
        <v>14</v>
      </c>
      <c r="C16" s="8" t="s">
        <v>12</v>
      </c>
      <c r="D16" s="7">
        <v>24.07</v>
      </c>
      <c r="E16" s="7">
        <f>166223.4</f>
        <v>166223.4</v>
      </c>
      <c r="F16" s="4"/>
    </row>
    <row r="17" spans="1:7" ht="47.25" x14ac:dyDescent="0.25">
      <c r="A17" s="7">
        <v>8</v>
      </c>
      <c r="B17" s="8" t="s">
        <v>15</v>
      </c>
      <c r="C17" s="8" t="s">
        <v>12</v>
      </c>
      <c r="D17" s="7">
        <v>3</v>
      </c>
      <c r="E17" s="7">
        <v>20989.4</v>
      </c>
      <c r="F17" s="4"/>
    </row>
    <row r="18" spans="1:7" s="1" customFormat="1" ht="31.5" x14ac:dyDescent="0.25">
      <c r="A18" s="7">
        <v>9</v>
      </c>
      <c r="B18" s="8" t="s">
        <v>16</v>
      </c>
      <c r="C18" s="8" t="s">
        <v>13</v>
      </c>
      <c r="D18" s="7">
        <v>0.02</v>
      </c>
      <c r="E18" s="7">
        <f>2159.4</f>
        <v>2159.4</v>
      </c>
      <c r="F18" s="4"/>
    </row>
    <row r="19" spans="1:7" s="1" customFormat="1" ht="78.75" x14ac:dyDescent="0.25">
      <c r="A19" s="7">
        <v>10</v>
      </c>
      <c r="B19" s="8" t="s">
        <v>20</v>
      </c>
      <c r="C19" s="8" t="s">
        <v>21</v>
      </c>
      <c r="D19" s="7">
        <v>4.9105999999999996</v>
      </c>
      <c r="E19" s="7">
        <f>16984+16984+17319.6+17319.6+17319.6+17319.6+18629.4+18629.4+18629.4+19939.2+19939.2+19939.2</f>
        <v>218952.2</v>
      </c>
      <c r="F19" s="4"/>
    </row>
    <row r="20" spans="1:7" s="1" customFormat="1" ht="31.5" x14ac:dyDescent="0.25">
      <c r="A20" s="7">
        <v>11</v>
      </c>
      <c r="B20" s="8" t="s">
        <v>22</v>
      </c>
      <c r="C20" s="8" t="s">
        <v>23</v>
      </c>
      <c r="D20" s="7">
        <f>0.14+0.04+0.02+0.04+0.08+0.03+0.02</f>
        <v>0.37</v>
      </c>
      <c r="E20" s="7">
        <f>1037.2+1555.4+1058.8+2116.2+1586.2+2274.6+1137.2+2274.6+4872.8+1827.4+1217.8</f>
        <v>20958.2</v>
      </c>
      <c r="F20" s="4"/>
    </row>
    <row r="21" spans="1:7" s="1" customFormat="1" ht="47.25" x14ac:dyDescent="0.25">
      <c r="A21" s="7">
        <v>12</v>
      </c>
      <c r="B21" s="8" t="s">
        <v>27</v>
      </c>
      <c r="C21" s="8" t="s">
        <v>12</v>
      </c>
      <c r="D21" s="7">
        <f>0.36+0.12+0.12+0.12+0.12</f>
        <v>0.84</v>
      </c>
      <c r="E21" s="7">
        <f>2980.2+3086+3086+3286.4+3502.6+3502.6+3502.6</f>
        <v>22946.399999999998</v>
      </c>
      <c r="F21" s="4"/>
    </row>
    <row r="22" spans="1:7" s="1" customFormat="1" ht="31.5" x14ac:dyDescent="0.25">
      <c r="A22" s="7">
        <v>13</v>
      </c>
      <c r="B22" s="8" t="s">
        <v>64</v>
      </c>
      <c r="C22" s="8" t="s">
        <v>65</v>
      </c>
      <c r="D22" s="7">
        <f>0.03+0.01+0.01</f>
        <v>0.05</v>
      </c>
      <c r="E22" s="7">
        <f>2078.2+1069.4+1122.2+1177</f>
        <v>5446.8</v>
      </c>
      <c r="F22" s="4"/>
    </row>
    <row r="23" spans="1:7" ht="15.75" x14ac:dyDescent="0.25">
      <c r="A23" s="7"/>
      <c r="B23" s="8"/>
      <c r="C23" s="8"/>
      <c r="D23" s="7"/>
      <c r="E23" s="9">
        <f>SUM(E10:E22)</f>
        <v>516406</v>
      </c>
      <c r="F23" s="4"/>
      <c r="G23" s="13">
        <f>E23-D105</f>
        <v>0</v>
      </c>
    </row>
    <row r="24" spans="1:7" ht="15.75" x14ac:dyDescent="0.25">
      <c r="A24" s="7"/>
      <c r="B24" s="12" t="s">
        <v>11</v>
      </c>
      <c r="C24" s="8"/>
      <c r="D24" s="7"/>
      <c r="E24" s="7"/>
      <c r="F24" s="4"/>
    </row>
    <row r="25" spans="1:7" ht="31.5" x14ac:dyDescent="0.25">
      <c r="A25" s="7">
        <v>1</v>
      </c>
      <c r="B25" s="8" t="s">
        <v>119</v>
      </c>
      <c r="C25" s="8" t="s">
        <v>13</v>
      </c>
      <c r="D25" s="7">
        <f>0.9+0.15+0.17+0.07</f>
        <v>1.29</v>
      </c>
      <c r="E25" s="7">
        <f>89292.8+15240.2+17993.4+7730.8</f>
        <v>130257.2</v>
      </c>
      <c r="F25" s="4"/>
    </row>
    <row r="26" spans="1:7" s="1" customFormat="1" ht="31.5" x14ac:dyDescent="0.25">
      <c r="A26" s="7">
        <v>2</v>
      </c>
      <c r="B26" s="8" t="s">
        <v>56</v>
      </c>
      <c r="C26" s="8" t="s">
        <v>13</v>
      </c>
      <c r="D26" s="7">
        <v>0.01</v>
      </c>
      <c r="E26" s="7">
        <v>22344</v>
      </c>
      <c r="F26" s="4"/>
    </row>
    <row r="27" spans="1:7" s="1" customFormat="1" ht="31.5" x14ac:dyDescent="0.25">
      <c r="A27" s="7">
        <v>3</v>
      </c>
      <c r="B27" s="8" t="s">
        <v>105</v>
      </c>
      <c r="C27" s="8" t="s">
        <v>13</v>
      </c>
      <c r="D27" s="7">
        <v>0.01</v>
      </c>
      <c r="E27" s="7">
        <v>4872.2</v>
      </c>
      <c r="F27" s="4"/>
    </row>
    <row r="28" spans="1:7" s="1" customFormat="1" ht="15.75" x14ac:dyDescent="0.25">
      <c r="A28" s="7">
        <v>4</v>
      </c>
      <c r="B28" s="8" t="s">
        <v>107</v>
      </c>
      <c r="C28" s="8" t="s">
        <v>108</v>
      </c>
      <c r="D28" s="7">
        <f>13</f>
        <v>13</v>
      </c>
      <c r="E28" s="7">
        <f>14778.4</f>
        <v>14778.4</v>
      </c>
      <c r="F28" s="4"/>
    </row>
    <row r="29" spans="1:7" s="1" customFormat="1" ht="47.25" x14ac:dyDescent="0.25">
      <c r="A29" s="7">
        <v>5</v>
      </c>
      <c r="B29" s="8" t="s">
        <v>44</v>
      </c>
      <c r="C29" s="8" t="s">
        <v>12</v>
      </c>
      <c r="D29" s="7">
        <f>0.02</f>
        <v>0.02</v>
      </c>
      <c r="E29" s="7">
        <f>2956.2</f>
        <v>2956.2</v>
      </c>
      <c r="F29" s="4"/>
    </row>
    <row r="30" spans="1:7" s="1" customFormat="1" ht="47.25" x14ac:dyDescent="0.25">
      <c r="A30" s="7">
        <v>6</v>
      </c>
      <c r="B30" s="8" t="s">
        <v>118</v>
      </c>
      <c r="C30" s="8" t="s">
        <v>12</v>
      </c>
      <c r="D30" s="7">
        <f>0.13+0.04+0.04</f>
        <v>0.21000000000000002</v>
      </c>
      <c r="E30" s="7">
        <f>3740.6+1231.6+1129.4</f>
        <v>6101.6</v>
      </c>
      <c r="F30" s="4"/>
    </row>
    <row r="31" spans="1:7" s="1" customFormat="1" ht="47.25" x14ac:dyDescent="0.25">
      <c r="A31" s="7">
        <v>7</v>
      </c>
      <c r="B31" s="8" t="s">
        <v>69</v>
      </c>
      <c r="C31" s="8" t="s">
        <v>12</v>
      </c>
      <c r="D31" s="7">
        <v>0.02</v>
      </c>
      <c r="E31" s="7">
        <v>8274.6</v>
      </c>
      <c r="F31" s="4"/>
    </row>
    <row r="32" spans="1:7" s="1" customFormat="1" ht="63" x14ac:dyDescent="0.25">
      <c r="A32" s="7">
        <v>8</v>
      </c>
      <c r="B32" s="8" t="s">
        <v>70</v>
      </c>
      <c r="C32" s="8" t="s">
        <v>57</v>
      </c>
      <c r="D32" s="7">
        <v>0.22</v>
      </c>
      <c r="E32" s="7">
        <v>848</v>
      </c>
      <c r="F32" s="4"/>
    </row>
    <row r="33" spans="1:8" s="1" customFormat="1" ht="78.75" x14ac:dyDescent="0.25">
      <c r="A33" s="7">
        <v>9</v>
      </c>
      <c r="B33" s="8" t="s">
        <v>71</v>
      </c>
      <c r="C33" s="8" t="s">
        <v>54</v>
      </c>
      <c r="D33" s="7">
        <v>0.2</v>
      </c>
      <c r="E33" s="7">
        <v>11049.4</v>
      </c>
      <c r="F33" s="4"/>
    </row>
    <row r="34" spans="1:8" s="1" customFormat="1" ht="78.75" x14ac:dyDescent="0.25">
      <c r="A34" s="7">
        <v>10</v>
      </c>
      <c r="B34" s="8" t="s">
        <v>59</v>
      </c>
      <c r="C34" s="8" t="s">
        <v>57</v>
      </c>
      <c r="D34" s="7">
        <f>0.13+0.04</f>
        <v>0.17</v>
      </c>
      <c r="E34" s="7">
        <f>372.8+124.6</f>
        <v>497.4</v>
      </c>
      <c r="F34" s="4"/>
    </row>
    <row r="35" spans="1:8" s="1" customFormat="1" ht="47.25" x14ac:dyDescent="0.25">
      <c r="A35" s="7">
        <v>11</v>
      </c>
      <c r="B35" s="8" t="s">
        <v>58</v>
      </c>
      <c r="C35" s="8" t="s">
        <v>12</v>
      </c>
      <c r="D35" s="7">
        <f>0.13+0.04</f>
        <v>0.17</v>
      </c>
      <c r="E35" s="7">
        <f>6159.8+3069.8</f>
        <v>9229.6</v>
      </c>
      <c r="F35" s="4"/>
    </row>
    <row r="36" spans="1:8" s="1" customFormat="1" ht="78.75" x14ac:dyDescent="0.25">
      <c r="A36" s="7">
        <v>12</v>
      </c>
      <c r="B36" s="8" t="s">
        <v>60</v>
      </c>
      <c r="C36" s="8" t="s">
        <v>57</v>
      </c>
      <c r="D36" s="7">
        <f>0.04</f>
        <v>0.04</v>
      </c>
      <c r="E36" s="7">
        <f>149.2</f>
        <v>149.19999999999999</v>
      </c>
      <c r="F36" s="4"/>
    </row>
    <row r="37" spans="1:8" s="1" customFormat="1" ht="47.25" x14ac:dyDescent="0.25">
      <c r="A37" s="7">
        <v>13</v>
      </c>
      <c r="B37" s="8" t="s">
        <v>45</v>
      </c>
      <c r="C37" s="8" t="s">
        <v>12</v>
      </c>
      <c r="D37" s="7">
        <f>0.04</f>
        <v>0.04</v>
      </c>
      <c r="E37" s="7">
        <f>2652.2</f>
        <v>2652.2</v>
      </c>
      <c r="F37" s="4"/>
    </row>
    <row r="38" spans="1:8" s="1" customFormat="1" ht="47.25" x14ac:dyDescent="0.25">
      <c r="A38" s="7">
        <v>14</v>
      </c>
      <c r="B38" s="8" t="s">
        <v>120</v>
      </c>
      <c r="C38" s="8" t="s">
        <v>39</v>
      </c>
      <c r="D38" s="7">
        <f>2+2</f>
        <v>4</v>
      </c>
      <c r="E38" s="7">
        <f>11421+12171.2</f>
        <v>23592.2</v>
      </c>
      <c r="F38" s="4"/>
    </row>
    <row r="39" spans="1:8" s="1" customFormat="1" ht="47.25" x14ac:dyDescent="0.25">
      <c r="A39" s="7">
        <v>15</v>
      </c>
      <c r="B39" s="8" t="s">
        <v>104</v>
      </c>
      <c r="C39" s="8" t="s">
        <v>39</v>
      </c>
      <c r="D39" s="7">
        <f>2+4</f>
        <v>6</v>
      </c>
      <c r="E39" s="7">
        <f>10998.4+25895</f>
        <v>36893.4</v>
      </c>
      <c r="F39" s="4"/>
    </row>
    <row r="40" spans="1:8" s="1" customFormat="1" ht="47.25" x14ac:dyDescent="0.25">
      <c r="A40" s="7">
        <v>16</v>
      </c>
      <c r="B40" s="8" t="s">
        <v>42</v>
      </c>
      <c r="C40" s="8" t="s">
        <v>12</v>
      </c>
      <c r="D40" s="7">
        <f>0.152</f>
        <v>0.152</v>
      </c>
      <c r="E40" s="7">
        <f>13412.2</f>
        <v>13412.2</v>
      </c>
      <c r="F40" s="4"/>
      <c r="H40" s="1" t="s">
        <v>31</v>
      </c>
    </row>
    <row r="41" spans="1:8" s="1" customFormat="1" ht="47.25" x14ac:dyDescent="0.25">
      <c r="A41" s="7">
        <v>17</v>
      </c>
      <c r="B41" s="8" t="s">
        <v>43</v>
      </c>
      <c r="C41" s="8" t="s">
        <v>12</v>
      </c>
      <c r="D41" s="7">
        <f>0.05</f>
        <v>0.05</v>
      </c>
      <c r="E41" s="7">
        <f>4897.2</f>
        <v>4897.2</v>
      </c>
      <c r="F41" s="4"/>
    </row>
    <row r="42" spans="1:8" s="1" customFormat="1" ht="94.5" x14ac:dyDescent="0.25">
      <c r="A42" s="7">
        <v>18</v>
      </c>
      <c r="B42" s="8" t="s">
        <v>113</v>
      </c>
      <c r="C42" s="8" t="s">
        <v>73</v>
      </c>
      <c r="D42" s="7">
        <f>0.025</f>
        <v>2.5000000000000001E-2</v>
      </c>
      <c r="E42" s="7">
        <f>447.4</f>
        <v>447.4</v>
      </c>
      <c r="F42" s="4"/>
    </row>
    <row r="43" spans="1:8" s="17" customFormat="1" ht="94.5" x14ac:dyDescent="0.25">
      <c r="A43" s="7">
        <v>19</v>
      </c>
      <c r="B43" s="15" t="s">
        <v>72</v>
      </c>
      <c r="C43" s="15" t="s">
        <v>73</v>
      </c>
      <c r="D43" s="14">
        <f>0.063+0.025</f>
        <v>8.7999999999999995E-2</v>
      </c>
      <c r="E43" s="14">
        <f>3487.6+1717</f>
        <v>5204.6000000000004</v>
      </c>
      <c r="F43" s="16"/>
    </row>
    <row r="44" spans="1:8" s="1" customFormat="1" ht="15.75" x14ac:dyDescent="0.25">
      <c r="A44" s="7">
        <v>20</v>
      </c>
      <c r="B44" s="8" t="s">
        <v>74</v>
      </c>
      <c r="C44" s="8" t="s">
        <v>26</v>
      </c>
      <c r="D44" s="7">
        <v>3</v>
      </c>
      <c r="E44" s="7">
        <v>898.8</v>
      </c>
      <c r="F44" s="4"/>
    </row>
    <row r="45" spans="1:8" s="1" customFormat="1" ht="47.25" x14ac:dyDescent="0.25">
      <c r="A45" s="7">
        <v>21</v>
      </c>
      <c r="B45" s="8" t="s">
        <v>75</v>
      </c>
      <c r="C45" s="8" t="s">
        <v>76</v>
      </c>
      <c r="D45" s="7">
        <v>0.1</v>
      </c>
      <c r="E45" s="7">
        <v>1106</v>
      </c>
      <c r="F45" s="4"/>
    </row>
    <row r="46" spans="1:8" s="1" customFormat="1" ht="78.75" x14ac:dyDescent="0.25">
      <c r="A46" s="7">
        <v>22</v>
      </c>
      <c r="B46" s="8" t="s">
        <v>77</v>
      </c>
      <c r="C46" s="8" t="s">
        <v>50</v>
      </c>
      <c r="D46" s="7">
        <v>0.04</v>
      </c>
      <c r="E46" s="7">
        <v>3314.6</v>
      </c>
      <c r="F46" s="4"/>
    </row>
    <row r="47" spans="1:8" s="1" customFormat="1" ht="31.5" x14ac:dyDescent="0.25">
      <c r="A47" s="7">
        <v>23</v>
      </c>
      <c r="B47" s="8" t="s">
        <v>78</v>
      </c>
      <c r="C47" s="8" t="s">
        <v>53</v>
      </c>
      <c r="D47" s="7">
        <v>0.12</v>
      </c>
      <c r="E47" s="7">
        <v>313</v>
      </c>
      <c r="F47" s="4"/>
    </row>
    <row r="48" spans="1:8" s="1" customFormat="1" ht="31.5" x14ac:dyDescent="0.25">
      <c r="A48" s="7">
        <v>24</v>
      </c>
      <c r="B48" s="8" t="s">
        <v>79</v>
      </c>
      <c r="C48" s="8" t="s">
        <v>53</v>
      </c>
      <c r="D48" s="7">
        <v>0.24</v>
      </c>
      <c r="E48" s="7">
        <v>81.400000000000006</v>
      </c>
      <c r="F48" s="4"/>
    </row>
    <row r="49" spans="1:6" s="1" customFormat="1" ht="15.75" x14ac:dyDescent="0.25">
      <c r="A49" s="7">
        <v>25</v>
      </c>
      <c r="B49" s="8" t="s">
        <v>80</v>
      </c>
      <c r="C49" s="8" t="s">
        <v>41</v>
      </c>
      <c r="D49" s="7">
        <v>20</v>
      </c>
      <c r="E49" s="7">
        <v>20000</v>
      </c>
      <c r="F49" s="4"/>
    </row>
    <row r="50" spans="1:6" s="1" customFormat="1" ht="78.75" x14ac:dyDescent="0.25">
      <c r="A50" s="7">
        <v>26</v>
      </c>
      <c r="B50" s="8" t="s">
        <v>83</v>
      </c>
      <c r="C50" s="8" t="s">
        <v>84</v>
      </c>
      <c r="D50" s="7">
        <v>0.02</v>
      </c>
      <c r="E50" s="7">
        <v>5252.6</v>
      </c>
      <c r="F50" s="4"/>
    </row>
    <row r="51" spans="1:6" s="1" customFormat="1" ht="47.25" x14ac:dyDescent="0.25">
      <c r="A51" s="7">
        <v>27</v>
      </c>
      <c r="B51" s="8" t="s">
        <v>85</v>
      </c>
      <c r="C51" s="8" t="s">
        <v>86</v>
      </c>
      <c r="D51" s="7">
        <v>2E-3</v>
      </c>
      <c r="E51" s="7">
        <v>596.20000000000005</v>
      </c>
      <c r="F51" s="4"/>
    </row>
    <row r="52" spans="1:6" s="1" customFormat="1" ht="47.25" x14ac:dyDescent="0.25">
      <c r="A52" s="7">
        <v>28</v>
      </c>
      <c r="B52" s="8" t="s">
        <v>87</v>
      </c>
      <c r="C52" s="8" t="s">
        <v>86</v>
      </c>
      <c r="D52" s="7">
        <v>3.5000000000000001E-3</v>
      </c>
      <c r="E52" s="7">
        <v>747.2</v>
      </c>
      <c r="F52" s="4"/>
    </row>
    <row r="53" spans="1:6" s="1" customFormat="1" ht="31.5" x14ac:dyDescent="0.25">
      <c r="A53" s="7">
        <v>29</v>
      </c>
      <c r="B53" s="8" t="s">
        <v>88</v>
      </c>
      <c r="C53" s="8" t="s">
        <v>89</v>
      </c>
      <c r="D53" s="7">
        <v>0.01</v>
      </c>
      <c r="E53" s="7">
        <v>895.4</v>
      </c>
      <c r="F53" s="4"/>
    </row>
    <row r="54" spans="1:6" s="1" customFormat="1" ht="31.5" x14ac:dyDescent="0.25">
      <c r="A54" s="7">
        <v>30</v>
      </c>
      <c r="B54" s="8" t="s">
        <v>90</v>
      </c>
      <c r="C54" s="8" t="s">
        <v>91</v>
      </c>
      <c r="D54" s="7">
        <v>0.01</v>
      </c>
      <c r="E54" s="7">
        <v>177.8</v>
      </c>
      <c r="F54" s="4"/>
    </row>
    <row r="55" spans="1:6" s="1" customFormat="1" ht="31.5" x14ac:dyDescent="0.25">
      <c r="A55" s="7">
        <v>31</v>
      </c>
      <c r="B55" s="8" t="s">
        <v>92</v>
      </c>
      <c r="C55" s="8" t="s">
        <v>28</v>
      </c>
      <c r="D55" s="7">
        <v>0.2</v>
      </c>
      <c r="E55" s="7">
        <v>11397.4</v>
      </c>
      <c r="F55" s="4"/>
    </row>
    <row r="56" spans="1:6" s="1" customFormat="1" ht="31.5" x14ac:dyDescent="0.25">
      <c r="A56" s="7">
        <v>32</v>
      </c>
      <c r="B56" s="8" t="s">
        <v>93</v>
      </c>
      <c r="C56" s="8" t="s">
        <v>94</v>
      </c>
      <c r="D56" s="7">
        <f>0.059+0.06</f>
        <v>0.11899999999999999</v>
      </c>
      <c r="E56" s="7">
        <f>3425+3742</f>
        <v>7167</v>
      </c>
      <c r="F56" s="4"/>
    </row>
    <row r="57" spans="1:6" s="1" customFormat="1" ht="31.5" x14ac:dyDescent="0.25">
      <c r="A57" s="7">
        <v>33</v>
      </c>
      <c r="B57" s="8" t="s">
        <v>95</v>
      </c>
      <c r="C57" s="8" t="s">
        <v>96</v>
      </c>
      <c r="D57" s="7">
        <v>1</v>
      </c>
      <c r="E57" s="7">
        <v>6000</v>
      </c>
      <c r="F57" s="4"/>
    </row>
    <row r="58" spans="1:6" s="1" customFormat="1" ht="31.5" x14ac:dyDescent="0.25">
      <c r="A58" s="7">
        <v>34</v>
      </c>
      <c r="B58" s="8" t="s">
        <v>116</v>
      </c>
      <c r="C58" s="8" t="s">
        <v>41</v>
      </c>
      <c r="D58" s="7">
        <f>26.8</f>
        <v>26.8</v>
      </c>
      <c r="E58" s="7">
        <f>31445.6</f>
        <v>31445.599999999999</v>
      </c>
      <c r="F58" s="4"/>
    </row>
    <row r="59" spans="1:6" s="1" customFormat="1" ht="15.75" x14ac:dyDescent="0.25">
      <c r="A59" s="7">
        <v>35</v>
      </c>
      <c r="B59" s="8" t="s">
        <v>97</v>
      </c>
      <c r="C59" s="8" t="s">
        <v>98</v>
      </c>
      <c r="D59" s="7">
        <v>0.04</v>
      </c>
      <c r="E59" s="7">
        <v>6667.6</v>
      </c>
      <c r="F59" s="4"/>
    </row>
    <row r="60" spans="1:6" s="1" customFormat="1" ht="31.5" x14ac:dyDescent="0.25">
      <c r="A60" s="7">
        <v>36</v>
      </c>
      <c r="B60" s="8" t="s">
        <v>99</v>
      </c>
      <c r="C60" s="8" t="s">
        <v>100</v>
      </c>
      <c r="D60" s="7">
        <v>0.1</v>
      </c>
      <c r="E60" s="7">
        <v>10536</v>
      </c>
      <c r="F60" s="4"/>
    </row>
    <row r="61" spans="1:6" s="1" customFormat="1" ht="78.75" x14ac:dyDescent="0.25">
      <c r="A61" s="7">
        <v>37</v>
      </c>
      <c r="B61" s="8" t="s">
        <v>101</v>
      </c>
      <c r="C61" s="8" t="s">
        <v>50</v>
      </c>
      <c r="D61" s="7">
        <v>0.06</v>
      </c>
      <c r="E61" s="7">
        <v>582.6</v>
      </c>
      <c r="F61" s="4"/>
    </row>
    <row r="62" spans="1:6" s="1" customFormat="1" ht="15.75" x14ac:dyDescent="0.25">
      <c r="A62" s="7">
        <v>38</v>
      </c>
      <c r="B62" s="8" t="s">
        <v>102</v>
      </c>
      <c r="C62" s="8" t="s">
        <v>103</v>
      </c>
      <c r="D62" s="7">
        <v>0.18</v>
      </c>
      <c r="E62" s="7">
        <v>2745.6</v>
      </c>
      <c r="F62" s="4"/>
    </row>
    <row r="63" spans="1:6" s="1" customFormat="1" ht="63" x14ac:dyDescent="0.25">
      <c r="A63" s="7">
        <v>39</v>
      </c>
      <c r="B63" s="8" t="s">
        <v>123</v>
      </c>
      <c r="C63" s="8" t="s">
        <v>124</v>
      </c>
      <c r="D63" s="7">
        <v>2.2999999999999998</v>
      </c>
      <c r="E63" s="7">
        <f>24965.8</f>
        <v>24965.8</v>
      </c>
      <c r="F63" s="4"/>
    </row>
    <row r="64" spans="1:6" s="1" customFormat="1" ht="31.5" x14ac:dyDescent="0.25">
      <c r="A64" s="7">
        <v>40</v>
      </c>
      <c r="B64" s="8" t="s">
        <v>125</v>
      </c>
      <c r="C64" s="8" t="s">
        <v>126</v>
      </c>
      <c r="D64" s="7">
        <f>0.04</f>
        <v>0.04</v>
      </c>
      <c r="E64" s="7">
        <v>3712</v>
      </c>
      <c r="F64" s="4"/>
    </row>
    <row r="65" spans="1:6" s="1" customFormat="1" ht="94.5" x14ac:dyDescent="0.25">
      <c r="A65" s="7">
        <v>41</v>
      </c>
      <c r="B65" s="8" t="s">
        <v>131</v>
      </c>
      <c r="C65" s="8" t="s">
        <v>62</v>
      </c>
      <c r="D65" s="7">
        <f>0.12</f>
        <v>0.12</v>
      </c>
      <c r="E65" s="7">
        <f>24759.2</f>
        <v>24759.200000000001</v>
      </c>
      <c r="F65" s="4"/>
    </row>
    <row r="66" spans="1:6" s="1" customFormat="1" ht="94.5" x14ac:dyDescent="0.25">
      <c r="A66" s="7">
        <v>42</v>
      </c>
      <c r="B66" s="8" t="s">
        <v>132</v>
      </c>
      <c r="C66" s="8" t="s">
        <v>62</v>
      </c>
      <c r="D66" s="7">
        <f>0.12</f>
        <v>0.12</v>
      </c>
      <c r="E66" s="7">
        <f>36196.6</f>
        <v>36196.6</v>
      </c>
      <c r="F66" s="4"/>
    </row>
    <row r="67" spans="1:6" s="1" customFormat="1" ht="78.75" x14ac:dyDescent="0.25">
      <c r="A67" s="7">
        <v>43</v>
      </c>
      <c r="B67" s="8" t="s">
        <v>133</v>
      </c>
      <c r="C67" s="8" t="s">
        <v>50</v>
      </c>
      <c r="D67" s="7">
        <f>0.16</f>
        <v>0.16</v>
      </c>
      <c r="E67" s="7">
        <f>2882.8</f>
        <v>2882.8</v>
      </c>
      <c r="F67" s="4"/>
    </row>
    <row r="68" spans="1:6" s="1" customFormat="1" ht="78.75" x14ac:dyDescent="0.25">
      <c r="A68" s="7">
        <v>44</v>
      </c>
      <c r="B68" s="8" t="s">
        <v>134</v>
      </c>
      <c r="C68" s="8" t="s">
        <v>50</v>
      </c>
      <c r="D68" s="7">
        <f>0.46</f>
        <v>0.46</v>
      </c>
      <c r="E68" s="7">
        <f>24994.2</f>
        <v>24994.2</v>
      </c>
      <c r="F68" s="4"/>
    </row>
    <row r="69" spans="1:6" s="1" customFormat="1" ht="78.75" x14ac:dyDescent="0.25">
      <c r="A69" s="7">
        <v>45</v>
      </c>
      <c r="B69" s="8" t="s">
        <v>135</v>
      </c>
      <c r="C69" s="8" t="s">
        <v>50</v>
      </c>
      <c r="D69" s="7">
        <f>0.015</f>
        <v>1.4999999999999999E-2</v>
      </c>
      <c r="E69" s="7">
        <f>809</f>
        <v>809</v>
      </c>
      <c r="F69" s="4"/>
    </row>
    <row r="70" spans="1:6" s="1" customFormat="1" ht="78.75" x14ac:dyDescent="0.25">
      <c r="A70" s="7">
        <v>46</v>
      </c>
      <c r="B70" s="8" t="s">
        <v>136</v>
      </c>
      <c r="C70" s="8" t="s">
        <v>50</v>
      </c>
      <c r="D70" s="7">
        <f>0.11</f>
        <v>0.11</v>
      </c>
      <c r="E70" s="7">
        <f>5634</f>
        <v>5634</v>
      </c>
      <c r="F70" s="4"/>
    </row>
    <row r="71" spans="1:6" s="1" customFormat="1" ht="78.75" x14ac:dyDescent="0.25">
      <c r="A71" s="7">
        <v>47</v>
      </c>
      <c r="B71" s="8" t="s">
        <v>137</v>
      </c>
      <c r="C71" s="8" t="s">
        <v>50</v>
      </c>
      <c r="D71" s="7">
        <f>0.08</f>
        <v>0.08</v>
      </c>
      <c r="E71" s="7">
        <f>3038.6</f>
        <v>3038.6</v>
      </c>
      <c r="F71" s="4"/>
    </row>
    <row r="72" spans="1:6" s="1" customFormat="1" ht="31.5" x14ac:dyDescent="0.25">
      <c r="A72" s="7">
        <v>48</v>
      </c>
      <c r="B72" s="8" t="s">
        <v>114</v>
      </c>
      <c r="C72" s="8" t="s">
        <v>89</v>
      </c>
      <c r="D72" s="7">
        <f>0.01</f>
        <v>0.01</v>
      </c>
      <c r="E72" s="7">
        <f>323.2</f>
        <v>323.2</v>
      </c>
      <c r="F72" s="4"/>
    </row>
    <row r="73" spans="1:6" s="1" customFormat="1" ht="15.75" x14ac:dyDescent="0.25">
      <c r="A73" s="7">
        <v>49</v>
      </c>
      <c r="B73" s="8" t="s">
        <v>46</v>
      </c>
      <c r="C73" s="8" t="s">
        <v>13</v>
      </c>
      <c r="D73" s="7"/>
      <c r="E73" s="7"/>
      <c r="F73" s="4"/>
    </row>
    <row r="74" spans="1:6" s="1" customFormat="1" ht="15.75" x14ac:dyDescent="0.25">
      <c r="A74" s="7">
        <v>50</v>
      </c>
      <c r="B74" s="8" t="s">
        <v>55</v>
      </c>
      <c r="C74" s="8" t="s">
        <v>54</v>
      </c>
      <c r="D74" s="7">
        <f>0.16</f>
        <v>0.16</v>
      </c>
      <c r="E74" s="7">
        <f>3629.2</f>
        <v>3629.2</v>
      </c>
      <c r="F74" s="4"/>
    </row>
    <row r="75" spans="1:6" s="1" customFormat="1" ht="15.75" x14ac:dyDescent="0.25">
      <c r="A75" s="7">
        <v>51</v>
      </c>
      <c r="B75" s="8" t="s">
        <v>109</v>
      </c>
      <c r="C75" s="8" t="s">
        <v>54</v>
      </c>
      <c r="D75" s="7">
        <f>0.02</f>
        <v>0.02</v>
      </c>
      <c r="E75" s="7">
        <f>936.8</f>
        <v>936.8</v>
      </c>
      <c r="F75" s="4"/>
    </row>
    <row r="76" spans="1:6" s="1" customFormat="1" ht="15.75" x14ac:dyDescent="0.25">
      <c r="A76" s="7">
        <v>52</v>
      </c>
      <c r="B76" s="8" t="s">
        <v>110</v>
      </c>
      <c r="C76" s="8" t="s">
        <v>54</v>
      </c>
      <c r="D76" s="7">
        <f>0.02</f>
        <v>0.02</v>
      </c>
      <c r="E76" s="7">
        <f>1142.8</f>
        <v>1142.8</v>
      </c>
      <c r="F76" s="4"/>
    </row>
    <row r="77" spans="1:6" s="1" customFormat="1" ht="31.5" x14ac:dyDescent="0.25">
      <c r="A77" s="7">
        <v>53</v>
      </c>
      <c r="B77" s="8" t="s">
        <v>29</v>
      </c>
      <c r="C77" s="8" t="s">
        <v>13</v>
      </c>
      <c r="D77" s="7">
        <f>0.01+0.01</f>
        <v>0.02</v>
      </c>
      <c r="E77" s="7">
        <f>4604+4591</f>
        <v>9195</v>
      </c>
      <c r="F77" s="4"/>
    </row>
    <row r="78" spans="1:6" s="1" customFormat="1" ht="31.5" x14ac:dyDescent="0.25">
      <c r="A78" s="7">
        <v>54</v>
      </c>
      <c r="B78" s="8" t="s">
        <v>61</v>
      </c>
      <c r="C78" s="8" t="s">
        <v>13</v>
      </c>
      <c r="D78" s="7">
        <f>0.03+0.01</f>
        <v>0.04</v>
      </c>
      <c r="E78" s="7">
        <f>4706+1624.2</f>
        <v>6330.2</v>
      </c>
      <c r="F78" s="4"/>
    </row>
    <row r="79" spans="1:6" s="1" customFormat="1" ht="78.75" x14ac:dyDescent="0.25">
      <c r="A79" s="7">
        <v>55</v>
      </c>
      <c r="B79" s="8" t="s">
        <v>127</v>
      </c>
      <c r="C79" s="8" t="s">
        <v>50</v>
      </c>
      <c r="D79" s="7">
        <f>0.06</f>
        <v>0.06</v>
      </c>
      <c r="E79" s="7">
        <f>5462</f>
        <v>5462</v>
      </c>
      <c r="F79" s="4"/>
    </row>
    <row r="80" spans="1:6" s="1" customFormat="1" ht="78.75" x14ac:dyDescent="0.25">
      <c r="A80" s="7">
        <v>56</v>
      </c>
      <c r="B80" s="8" t="s">
        <v>128</v>
      </c>
      <c r="C80" s="8" t="s">
        <v>50</v>
      </c>
      <c r="D80" s="7">
        <f>0.32</f>
        <v>0.32</v>
      </c>
      <c r="E80" s="7">
        <f>10291</f>
        <v>10291</v>
      </c>
      <c r="F80" s="4"/>
    </row>
    <row r="81" spans="1:6" s="1" customFormat="1" ht="78.75" x14ac:dyDescent="0.25">
      <c r="A81" s="7">
        <v>57</v>
      </c>
      <c r="B81" s="8" t="s">
        <v>129</v>
      </c>
      <c r="C81" s="8" t="s">
        <v>50</v>
      </c>
      <c r="D81" s="7">
        <f>1.68</f>
        <v>1.68</v>
      </c>
      <c r="E81" s="7">
        <f>82089.8</f>
        <v>82089.8</v>
      </c>
      <c r="F81" s="4"/>
    </row>
    <row r="82" spans="1:6" s="1" customFormat="1" ht="47.25" x14ac:dyDescent="0.25">
      <c r="A82" s="7">
        <v>58</v>
      </c>
      <c r="B82" s="8" t="s">
        <v>117</v>
      </c>
      <c r="C82" s="8" t="s">
        <v>49</v>
      </c>
      <c r="D82" s="7">
        <f>0.268</f>
        <v>0.26800000000000002</v>
      </c>
      <c r="E82" s="7">
        <f>21237.6</f>
        <v>21237.599999999999</v>
      </c>
      <c r="F82" s="4"/>
    </row>
    <row r="83" spans="1:6" s="1" customFormat="1" ht="78.75" x14ac:dyDescent="0.25">
      <c r="A83" s="7">
        <v>59</v>
      </c>
      <c r="B83" s="8" t="s">
        <v>130</v>
      </c>
      <c r="C83" s="8" t="s">
        <v>50</v>
      </c>
      <c r="D83" s="7">
        <f>0.062</f>
        <v>6.2E-2</v>
      </c>
      <c r="E83" s="7">
        <f>2719.4</f>
        <v>2719.4</v>
      </c>
      <c r="F83" s="4"/>
    </row>
    <row r="84" spans="1:6" s="1" customFormat="1" ht="47.25" x14ac:dyDescent="0.25">
      <c r="A84" s="7">
        <v>60</v>
      </c>
      <c r="B84" s="8" t="s">
        <v>121</v>
      </c>
      <c r="C84" s="8" t="s">
        <v>122</v>
      </c>
      <c r="D84" s="7">
        <f>0.01</f>
        <v>0.01</v>
      </c>
      <c r="E84" s="7">
        <f>547</f>
        <v>547</v>
      </c>
      <c r="F84" s="4"/>
    </row>
    <row r="85" spans="1:6" s="1" customFormat="1" ht="31.5" x14ac:dyDescent="0.25">
      <c r="A85" s="7">
        <v>61</v>
      </c>
      <c r="B85" s="8" t="s">
        <v>115</v>
      </c>
      <c r="C85" s="8" t="s">
        <v>26</v>
      </c>
      <c r="D85" s="7">
        <f>2</f>
        <v>2</v>
      </c>
      <c r="E85" s="7">
        <f>20800</f>
        <v>20800</v>
      </c>
      <c r="F85" s="4"/>
    </row>
    <row r="86" spans="1:6" s="1" customFormat="1" ht="15.75" x14ac:dyDescent="0.25">
      <c r="A86" s="7">
        <v>62</v>
      </c>
      <c r="B86" s="8" t="s">
        <v>106</v>
      </c>
      <c r="C86" s="8" t="s">
        <v>26</v>
      </c>
      <c r="D86" s="7">
        <f>1</f>
        <v>1</v>
      </c>
      <c r="E86" s="7">
        <f>49500</f>
        <v>49500</v>
      </c>
      <c r="F86" s="4"/>
    </row>
    <row r="87" spans="1:6" s="1" customFormat="1" ht="15.75" x14ac:dyDescent="0.25">
      <c r="A87" s="7">
        <v>63</v>
      </c>
      <c r="B87" s="8" t="s">
        <v>111</v>
      </c>
      <c r="C87" s="8" t="s">
        <v>53</v>
      </c>
      <c r="D87" s="7">
        <f>0.0357</f>
        <v>3.5700000000000003E-2</v>
      </c>
      <c r="E87" s="7">
        <f>1641.8</f>
        <v>1641.8</v>
      </c>
      <c r="F87" s="4"/>
    </row>
    <row r="88" spans="1:6" s="1" customFormat="1" ht="15.75" x14ac:dyDescent="0.25">
      <c r="A88" s="7">
        <v>64</v>
      </c>
      <c r="B88" s="8" t="s">
        <v>112</v>
      </c>
      <c r="C88" s="8" t="s">
        <v>53</v>
      </c>
      <c r="D88" s="7">
        <f>0.0357</f>
        <v>3.5700000000000003E-2</v>
      </c>
      <c r="E88" s="7">
        <f>11633.4</f>
        <v>11633.4</v>
      </c>
      <c r="F88" s="4"/>
    </row>
    <row r="89" spans="1:6" s="1" customFormat="1" ht="47.25" x14ac:dyDescent="0.25">
      <c r="A89" s="7">
        <v>65</v>
      </c>
      <c r="B89" s="8" t="s">
        <v>66</v>
      </c>
      <c r="C89" s="8" t="s">
        <v>67</v>
      </c>
      <c r="D89" s="7">
        <v>0.02</v>
      </c>
      <c r="E89" s="7">
        <v>5953.6</v>
      </c>
      <c r="F89" s="4"/>
    </row>
    <row r="90" spans="1:6" s="1" customFormat="1" ht="15.75" x14ac:dyDescent="0.25">
      <c r="A90" s="7">
        <v>66</v>
      </c>
      <c r="B90" s="8" t="s">
        <v>68</v>
      </c>
      <c r="C90" s="8" t="s">
        <v>53</v>
      </c>
      <c r="D90" s="7">
        <v>6.0000000000000001E-3</v>
      </c>
      <c r="E90" s="7">
        <v>808.6</v>
      </c>
      <c r="F90" s="4"/>
    </row>
    <row r="91" spans="1:6" s="1" customFormat="1" ht="31.5" x14ac:dyDescent="0.25">
      <c r="A91" s="7">
        <v>67</v>
      </c>
      <c r="B91" s="8" t="s">
        <v>81</v>
      </c>
      <c r="C91" s="8" t="s">
        <v>13</v>
      </c>
      <c r="D91" s="7">
        <v>0.01</v>
      </c>
      <c r="E91" s="7">
        <v>4460</v>
      </c>
      <c r="F91" s="4"/>
    </row>
    <row r="92" spans="1:6" s="1" customFormat="1" ht="15.75" x14ac:dyDescent="0.25">
      <c r="A92" s="7">
        <v>68</v>
      </c>
      <c r="B92" s="8" t="s">
        <v>46</v>
      </c>
      <c r="C92" s="8" t="s">
        <v>82</v>
      </c>
      <c r="D92" s="7">
        <v>0.01</v>
      </c>
      <c r="E92" s="7">
        <v>4693.2</v>
      </c>
      <c r="F92" s="4"/>
    </row>
    <row r="93" spans="1:6" s="1" customFormat="1" ht="31.5" x14ac:dyDescent="0.25">
      <c r="A93" s="7">
        <v>69</v>
      </c>
      <c r="B93" s="8" t="s">
        <v>138</v>
      </c>
      <c r="C93" s="8" t="s">
        <v>139</v>
      </c>
      <c r="D93" s="7">
        <v>1</v>
      </c>
      <c r="E93" s="7">
        <v>800</v>
      </c>
      <c r="F93" s="4"/>
    </row>
    <row r="94" spans="1:6" s="1" customFormat="1" ht="31.5" x14ac:dyDescent="0.25">
      <c r="A94" s="7">
        <v>70</v>
      </c>
      <c r="B94" s="8" t="s">
        <v>48</v>
      </c>
      <c r="C94" s="8" t="s">
        <v>47</v>
      </c>
      <c r="D94" s="7">
        <f>1500+60+60+210+190</f>
        <v>2020</v>
      </c>
      <c r="E94" s="19">
        <f>49995+3000+2500+10500+7501</f>
        <v>73496</v>
      </c>
      <c r="F94" s="4"/>
    </row>
    <row r="95" spans="1:6" s="1" customFormat="1" ht="47.25" x14ac:dyDescent="0.25">
      <c r="A95" s="7">
        <v>71</v>
      </c>
      <c r="B95" s="8" t="s">
        <v>51</v>
      </c>
      <c r="C95" s="8" t="s">
        <v>52</v>
      </c>
      <c r="D95" s="7">
        <v>260</v>
      </c>
      <c r="E95" s="19">
        <v>169000</v>
      </c>
      <c r="F95" s="4"/>
    </row>
    <row r="96" spans="1:6" s="1" customFormat="1" ht="15.75" x14ac:dyDescent="0.25">
      <c r="A96" s="7"/>
      <c r="B96" s="8"/>
      <c r="C96" s="8"/>
      <c r="D96" s="7"/>
      <c r="E96" s="9">
        <f>SUM(E25:E95)</f>
        <v>1022064.6</v>
      </c>
      <c r="F96" s="4"/>
    </row>
    <row r="97" spans="1:10" ht="15.75" x14ac:dyDescent="0.25">
      <c r="A97" s="7"/>
      <c r="B97" s="8" t="s">
        <v>9</v>
      </c>
      <c r="C97" s="7"/>
      <c r="D97" s="7"/>
      <c r="E97" s="9">
        <f>E23+E96</f>
        <v>1538470.6</v>
      </c>
      <c r="F97" s="4"/>
    </row>
    <row r="98" spans="1:10" ht="15.75" x14ac:dyDescent="0.25">
      <c r="A98" s="7"/>
      <c r="B98" s="8"/>
      <c r="C98" s="7"/>
      <c r="D98" s="7"/>
      <c r="E98" s="7"/>
      <c r="F98" s="4"/>
    </row>
    <row r="99" spans="1:10" ht="15.75" x14ac:dyDescent="0.25">
      <c r="A99" s="10"/>
      <c r="B99" s="10"/>
      <c r="C99" s="10"/>
      <c r="D99" s="10"/>
      <c r="E99" s="10"/>
      <c r="F99" s="4"/>
      <c r="J99" t="s">
        <v>31</v>
      </c>
    </row>
    <row r="100" spans="1:10" ht="15.75" x14ac:dyDescent="0.25">
      <c r="A100" s="10"/>
      <c r="B100" s="10" t="s">
        <v>17</v>
      </c>
      <c r="C100" s="10" t="s">
        <v>33</v>
      </c>
      <c r="D100" s="10"/>
      <c r="E100" s="10"/>
      <c r="F100" s="1"/>
    </row>
    <row r="101" spans="1:10" x14ac:dyDescent="0.25">
      <c r="A101" s="2"/>
      <c r="B101" s="2"/>
      <c r="C101" s="2"/>
      <c r="D101" s="2"/>
      <c r="E101" s="2"/>
      <c r="F101" s="1"/>
    </row>
    <row r="102" spans="1:10" x14ac:dyDescent="0.25">
      <c r="A102" s="2"/>
      <c r="B102" s="2"/>
      <c r="C102" s="2"/>
      <c r="D102" s="2"/>
      <c r="E102" s="2"/>
      <c r="F102" s="1"/>
    </row>
    <row r="103" spans="1:10" x14ac:dyDescent="0.25">
      <c r="A103" s="2"/>
      <c r="B103" s="2" t="s">
        <v>18</v>
      </c>
      <c r="C103" s="2"/>
      <c r="D103" s="18"/>
      <c r="E103" s="2"/>
      <c r="F103" s="13"/>
      <c r="G103" s="13"/>
    </row>
    <row r="104" spans="1:10" x14ac:dyDescent="0.25">
      <c r="A104" s="2"/>
      <c r="B104" s="2"/>
      <c r="C104" s="2"/>
      <c r="D104" s="2"/>
      <c r="E104" s="2"/>
      <c r="F104" s="13"/>
      <c r="G104" s="13"/>
    </row>
    <row r="105" spans="1:10" x14ac:dyDescent="0.25">
      <c r="A105" s="2"/>
      <c r="B105" s="2"/>
      <c r="C105" s="2" t="s">
        <v>34</v>
      </c>
      <c r="D105" s="18">
        <f>32728.6+23896+20820+25877.4+23409.8+212548.2+29725.2+26860.2+29240.4+33341+29118.6+28840.6</f>
        <v>516406</v>
      </c>
      <c r="E105" s="18"/>
    </row>
    <row r="106" spans="1:10" x14ac:dyDescent="0.25">
      <c r="A106" s="2"/>
      <c r="B106" s="2"/>
      <c r="C106" s="2" t="s">
        <v>35</v>
      </c>
      <c r="D106" s="18">
        <f>121598.8+171153+4460+12184.6+72148.2+79270+53242+124973.4+67854+186350+110829.6+18001</f>
        <v>1022064.6</v>
      </c>
      <c r="E106" s="2"/>
      <c r="F106" s="13"/>
    </row>
    <row r="107" spans="1:10" x14ac:dyDescent="0.25">
      <c r="A107" s="2"/>
      <c r="B107" s="2"/>
      <c r="C107" s="2"/>
      <c r="D107" s="18">
        <f>D105+D106</f>
        <v>1538470.6</v>
      </c>
      <c r="E107" s="18"/>
    </row>
    <row r="108" spans="1:10" x14ac:dyDescent="0.25">
      <c r="A108" s="2"/>
      <c r="B108" s="2"/>
      <c r="C108" s="2" t="s">
        <v>36</v>
      </c>
      <c r="D108" s="18">
        <f>154327.4+195049+25280+38062+95558+291818.2+82967.2+151833.6+97094.4+219691+139948.2+46841.6</f>
        <v>1538470.6</v>
      </c>
      <c r="E108" s="2"/>
    </row>
    <row r="109" spans="1:10" x14ac:dyDescent="0.25">
      <c r="A109" s="2"/>
      <c r="B109" s="2"/>
      <c r="C109" s="2"/>
      <c r="D109" s="2"/>
      <c r="E109" s="2"/>
    </row>
    <row r="113" spans="17:17" x14ac:dyDescent="0.25">
      <c r="Q113" s="13" t="e">
        <f>#REF!+#REF!+#REF!+#REF!+#REF!+#REF!</f>
        <v>#REF!</v>
      </c>
    </row>
    <row r="114" spans="17:17" x14ac:dyDescent="0.25">
      <c r="Q114" s="13" t="e">
        <f>Q113-#REF!</f>
        <v>#REF!</v>
      </c>
    </row>
    <row r="1191" spans="7:7" x14ac:dyDescent="0.25">
      <c r="G1191" t="s">
        <v>32</v>
      </c>
    </row>
    <row r="1193" spans="7:7" x14ac:dyDescent="0.25">
      <c r="G1193" t="s">
        <v>30</v>
      </c>
    </row>
  </sheetData>
  <pageMargins left="0.78740157480314965" right="0.11811023622047245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2023-01-23T10:48:07Z</cp:lastPrinted>
  <dcterms:created xsi:type="dcterms:W3CDTF">2016-09-29T06:37:31Z</dcterms:created>
  <dcterms:modified xsi:type="dcterms:W3CDTF">2023-01-23T10:48:44Z</dcterms:modified>
</cp:coreProperties>
</file>