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 исп дог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9" i="1" l="1"/>
  <c r="E39" i="1"/>
  <c r="E84" i="1"/>
  <c r="D84" i="1"/>
  <c r="E80" i="1"/>
  <c r="D80" i="1"/>
  <c r="E79" i="1"/>
  <c r="D79" i="1"/>
  <c r="E16" i="1"/>
  <c r="E23" i="1"/>
  <c r="D23" i="1"/>
  <c r="E20" i="1"/>
  <c r="E76" i="1"/>
  <c r="E35" i="1"/>
  <c r="E10" i="1"/>
  <c r="D10" i="1"/>
  <c r="E22" i="1"/>
  <c r="D22" i="1"/>
  <c r="E78" i="1"/>
  <c r="D78" i="1"/>
  <c r="D77" i="1"/>
  <c r="E14" i="1"/>
  <c r="D14" i="1"/>
  <c r="E15" i="1"/>
  <c r="D15" i="1"/>
  <c r="E12" i="1"/>
  <c r="D12" i="1"/>
  <c r="E25" i="1"/>
  <c r="D25" i="1"/>
  <c r="E18" i="1"/>
  <c r="D18" i="1"/>
  <c r="E32" i="1"/>
  <c r="D32" i="1"/>
  <c r="E34" i="1"/>
  <c r="D34" i="1"/>
  <c r="E77" i="1"/>
  <c r="E28" i="1"/>
  <c r="D28" i="1"/>
  <c r="E33" i="1"/>
  <c r="D33" i="1"/>
  <c r="E81" i="1"/>
  <c r="D81" i="1"/>
  <c r="E19" i="1"/>
  <c r="D19" i="1"/>
  <c r="E83" i="1"/>
  <c r="E29" i="1"/>
  <c r="D29" i="1"/>
  <c r="E31" i="1"/>
  <c r="D31" i="1"/>
  <c r="E30" i="1"/>
  <c r="D30" i="1"/>
  <c r="E17" i="1"/>
  <c r="E51" i="1"/>
  <c r="E38" i="1"/>
  <c r="E37" i="1"/>
  <c r="D37" i="1"/>
  <c r="D51" i="1"/>
  <c r="E36" i="1"/>
  <c r="D36" i="1"/>
  <c r="E82" i="1"/>
  <c r="D82" i="1"/>
  <c r="E47" i="1"/>
  <c r="D47" i="1"/>
  <c r="E24" i="1"/>
  <c r="D24" i="1"/>
  <c r="E75" i="1"/>
  <c r="E74" i="1"/>
  <c r="E73" i="1"/>
  <c r="E72" i="1"/>
  <c r="D72" i="1"/>
  <c r="E71" i="1"/>
  <c r="E70" i="1"/>
  <c r="E69" i="1"/>
  <c r="E68" i="1"/>
  <c r="E67" i="1"/>
  <c r="D67" i="1"/>
  <c r="E66" i="1"/>
  <c r="E65" i="1"/>
  <c r="E64" i="1"/>
  <c r="E63" i="1"/>
  <c r="D63" i="1"/>
  <c r="E62" i="1"/>
  <c r="D62" i="1"/>
  <c r="E61" i="1"/>
  <c r="D61" i="1"/>
  <c r="E59" i="1"/>
  <c r="D59" i="1"/>
  <c r="E60" i="1"/>
  <c r="E58" i="1"/>
  <c r="D58" i="1"/>
  <c r="E57" i="1"/>
  <c r="D57" i="1"/>
  <c r="E56" i="1" l="1"/>
  <c r="D56" i="1"/>
  <c r="E55" i="1"/>
  <c r="D55" i="1"/>
  <c r="E54" i="1"/>
  <c r="D54" i="1"/>
  <c r="E53" i="1"/>
  <c r="D53" i="1"/>
  <c r="E52" i="1"/>
  <c r="E50" i="1"/>
  <c r="D50" i="1"/>
  <c r="E49" i="1"/>
  <c r="D49" i="1"/>
  <c r="E48" i="1"/>
  <c r="D48" i="1"/>
  <c r="E46" i="1"/>
  <c r="E45" i="1"/>
  <c r="D45" i="1"/>
  <c r="E44" i="1"/>
  <c r="D44" i="1"/>
  <c r="E43" i="1"/>
  <c r="E42" i="1"/>
  <c r="D42" i="1"/>
  <c r="E41" i="1"/>
  <c r="D41" i="1"/>
  <c r="E40" i="1"/>
  <c r="E86" i="1" s="1"/>
  <c r="D40" i="1"/>
  <c r="E13" i="1"/>
  <c r="D13" i="1"/>
  <c r="E11" i="1"/>
  <c r="E26" i="1" s="1"/>
  <c r="D11" i="1"/>
  <c r="E87" i="1" l="1"/>
</calcChain>
</file>

<file path=xl/sharedStrings.xml><?xml version="1.0" encoding="utf-8"?>
<sst xmlns="http://schemas.openxmlformats.org/spreadsheetml/2006/main" count="164" uniqueCount="114">
  <si>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</si>
  <si>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</si>
  <si>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</si>
  <si>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</si>
  <si>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</si>
  <si>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</si>
  <si>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</si>
  <si>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</si>
  <si>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1шт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</si>
  <si>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</si>
  <si>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</si>
  <si>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</si>
  <si>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</si>
  <si>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</si>
  <si>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</si>
  <si>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</si>
  <si>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</si>
  <si>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</si>
  <si>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</si>
  <si>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</si>
  <si>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</si>
  <si>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</si>
  <si>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>Установка манометров</t>
  </si>
  <si>
    <t>Установка термометров</t>
  </si>
  <si>
    <t>1 компл.</t>
  </si>
  <si>
    <t xml:space="preserve"> работ по текущему ремонту и техническому обслуживанию  общего </t>
  </si>
  <si>
    <t>Изготовление и установка шайбы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</si>
  <si>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</si>
  <si>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</si>
  <si>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</si>
  <si>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</si>
  <si>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</si>
  <si>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</si>
  <si>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</si>
  <si>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100м  трубопровода</t>
  </si>
  <si>
    <t>Услуги трактора,экскаватора-погузчика,погрузка и вывоз снега со складированием</t>
  </si>
  <si>
    <t>м3</t>
  </si>
  <si>
    <t>Очистка канализационной сети дворовой</t>
  </si>
  <si>
    <t>Смена выключателей</t>
  </si>
  <si>
    <t>Смена внутренних трубопроводов из стальных труб диам. до 32мм</t>
  </si>
  <si>
    <t>100м</t>
  </si>
  <si>
    <t>Смена кранов на шаровые краны диам. 15,25,32мм</t>
  </si>
  <si>
    <t>1 врезка</t>
  </si>
  <si>
    <t>Врезка в действующие внутренние сети трубопроводов ХВС,ЦО диам.32мм</t>
  </si>
  <si>
    <t>Усиление сварных швов</t>
  </si>
  <si>
    <t>1 м шва</t>
  </si>
  <si>
    <t>10фильтров</t>
  </si>
  <si>
    <t>1 соед.</t>
  </si>
  <si>
    <t>Врезка в действующие внутренние сети трубопроводов ЦО диам.15мм(под манометры)</t>
  </si>
  <si>
    <t>Врезка в действующие внутренние сети трубопроводов ЦО диам.15мм(под термометры)</t>
  </si>
  <si>
    <t>Врезка в действующие внутренние сети трубопроводов ЦО диам.15мм(под воздушники)</t>
  </si>
  <si>
    <t>Врезка в действующие внутренние сети трубопроводов ЦО диам.15мм(под спускники)</t>
  </si>
  <si>
    <t>1шт.</t>
  </si>
  <si>
    <t>Огрунтовка металлических поверхностей за один раз грунтовкой ГФ-021</t>
  </si>
  <si>
    <t>Огрунтовка металлических  огрунтованных поверхностей за один раз эмалью ПФ-115</t>
  </si>
  <si>
    <t>Огрунтовка металлических  огрунтованных поверхностей за один раз эмалью КО-811</t>
  </si>
  <si>
    <t>Прибор,устанавливаемый на фланцевых соединениях,масса, до 5кг</t>
  </si>
  <si>
    <t>Прибор,устанавливаемый на фланцевых соединениях,масса, до 10кг</t>
  </si>
  <si>
    <t>Прибор,устанавливаемый на резьбовых соединениях,масса, до 1,5кг</t>
  </si>
  <si>
    <t>Установка бобышек,штуцеров</t>
  </si>
  <si>
    <t>Шкаф управления</t>
  </si>
  <si>
    <t>шт</t>
  </si>
  <si>
    <t>Приборы,устанавливаемые на металлоконструкциях,щитах и пультах,масса до 5 кг</t>
  </si>
  <si>
    <t>Рукав металлический наружным диаметром до 48мм</t>
  </si>
  <si>
    <t>Затягивание провода в проложенные трубы</t>
  </si>
  <si>
    <t>Кабель проложенный в трубах</t>
  </si>
  <si>
    <t>Присоединение к приборам электрических проводов под винт с оконцеванием наконечников</t>
  </si>
  <si>
    <t>100 концов жил</t>
  </si>
  <si>
    <t>Дополнительная установка колодок</t>
  </si>
  <si>
    <t>Розетка штепсельная полугерметическая и герметическая</t>
  </si>
  <si>
    <t>Узел учета тепловой энергии без диспетчеризации</t>
  </si>
  <si>
    <t>Комплексная наладка</t>
  </si>
  <si>
    <t>1 система</t>
  </si>
  <si>
    <t>100м2 покрытия</t>
  </si>
  <si>
    <t>имущества МКД, выполненных за 2017  года на жилом доме № 4</t>
  </si>
  <si>
    <t xml:space="preserve">                                        по улице Заречная</t>
  </si>
  <si>
    <t>Очистка канализационной сети внутренней</t>
  </si>
  <si>
    <t>Смена дверных приборов замки врезные</t>
  </si>
  <si>
    <t>100шт приб.</t>
  </si>
  <si>
    <t>Смена электропроводки</t>
  </si>
  <si>
    <t>Прокладка гофры</t>
  </si>
  <si>
    <t>10м</t>
  </si>
  <si>
    <t>Ремонт ВРУ  с автоматами</t>
  </si>
  <si>
    <t>Установка вентилей,задвижек,кранов диам. 125мм</t>
  </si>
  <si>
    <t>Установка фильтров диам. 125мм</t>
  </si>
  <si>
    <t>Установка фланцевых соединений на стальных трубопроводах диам. 100мм</t>
  </si>
  <si>
    <t>Установка фланцевых соединений на стальных трубопроводах диам. 125мм</t>
  </si>
  <si>
    <t>Прокладка трубопроводов отопления из стальных бесшовных труб диам. 65мм</t>
  </si>
  <si>
    <t>Изоляция трубопроводов изделиями из вспенного каучука</t>
  </si>
  <si>
    <t>10м трубопровода</t>
  </si>
  <si>
    <t>Монтаж опорных конструкций для крепления трубопроводов внутри зданий и сооружений массой до 0,1 т</t>
  </si>
  <si>
    <t>1т конструкци</t>
  </si>
  <si>
    <t>Лоток металлический штампованный</t>
  </si>
  <si>
    <t>1т</t>
  </si>
  <si>
    <t>Смена трубопроводов из полиэтиленовых канализационных труб диам.до 100мм</t>
  </si>
  <si>
    <t>100м трубопровода с фасонными частями</t>
  </si>
  <si>
    <t>Смена внутренних трубопроводов из стальных труб диам.до 32мм</t>
  </si>
  <si>
    <t>Установка шаровых кранов диам.15,25,32 40мм</t>
  </si>
  <si>
    <t>Врезка в действующие сети трубопроводов отопления и водоснабжения диам. 25мм</t>
  </si>
  <si>
    <t>Врезка в действующие сети трубопроводов отопления и водоснабжения диам. 32мм</t>
  </si>
  <si>
    <t>Врезка в действующие внутренние сети трубопроводов ЦО диам.15мм</t>
  </si>
  <si>
    <t>Смена существующих рулонных кровель на покрытия из наплавляемых рулонных матеиалов в один слой</t>
  </si>
  <si>
    <t>Прокладка трубопроводов из напорных полипропиленовых труб диам. 32мм</t>
  </si>
  <si>
    <t>Смена рубильника</t>
  </si>
  <si>
    <t>Смена внутренних трубопроводов из стальных труб диам. до 15мм</t>
  </si>
  <si>
    <t>Смена внутренних трубопроводов из стальных труб диам. до 25мм</t>
  </si>
  <si>
    <t>Изготовление и установка пандуса</t>
  </si>
  <si>
    <t>Высотные работы по ремонту козырьков над лоджиями</t>
  </si>
  <si>
    <t>Смена дверных приборов пружины</t>
  </si>
  <si>
    <t>Прокладка трубопроводов из напорных полипропиленовых труб диам. 25 мм</t>
  </si>
  <si>
    <t>Косметический ремонт подъезда №1,2</t>
  </si>
  <si>
    <t>Прибор или аппарат</t>
  </si>
  <si>
    <t>Механизированная уборка снега на придомовой территории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</si>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</sst>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0" fontId="2" fillId="3" borderId="1" xfId="0" applyFont="1" applyFill="1" applyBorder="1" applyAlignment="1">
      <alignment horizontal="left" vertical="distributed"/>
    </xf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H16" sqref="H1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6" max="6" width="11.8554687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25</v>
      </c>
      <c r="C3" s="3"/>
      <c r="D3" s="3"/>
      <c r="E3" s="3"/>
      <c r="F3" s="1"/>
    </row>
    <row r="4" spans="1:6" ht="15.75" x14ac:dyDescent="0.25">
      <c r="A4" s="4"/>
      <c r="B4" s="3" t="s">
        <v>74</v>
      </c>
      <c r="C4" s="3"/>
      <c r="D4" s="3"/>
      <c r="E4" s="3"/>
      <c r="F4" s="1"/>
    </row>
    <row r="5" spans="1:6" ht="15.75" x14ac:dyDescent="0.25">
      <c r="A5" s="4"/>
      <c r="B5" s="3" t="s">
        <v>75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11</v>
      </c>
      <c r="C9" s="6"/>
      <c r="D9" s="6"/>
      <c r="E9" s="6"/>
      <c r="F9" s="4"/>
    </row>
    <row r="10" spans="1:6" ht="15.75" x14ac:dyDescent="0.25">
      <c r="A10" s="7">
        <v>1</v>
      </c>
      <c r="B10" s="8" t="s">
        <v>9</v>
      </c>
      <c r="C10" s="8" t="s">
        <v>14</v>
      </c>
      <c r="D10" s="7">
        <f>0.07+0.17+0.07+0.15+0.09+0.05+0.1+0.06+0.32+0.16</f>
        <v>1.24</v>
      </c>
      <c r="E10" s="7">
        <f>1061.45+2577.83+1061.45+2298.65+1379.18+766.21+1550.28+930.15+4960.89+2480.45</f>
        <v>19066.54</v>
      </c>
      <c r="F10" s="4"/>
    </row>
    <row r="11" spans="1:6" s="1" customFormat="1" ht="15.75" x14ac:dyDescent="0.25">
      <c r="A11" s="7">
        <v>2</v>
      </c>
      <c r="B11" s="8" t="s">
        <v>79</v>
      </c>
      <c r="C11" s="8" t="s">
        <v>40</v>
      </c>
      <c r="D11" s="7">
        <f>0.2</f>
        <v>0.2</v>
      </c>
      <c r="E11" s="7">
        <f>1677.75+383.42</f>
        <v>2061.17</v>
      </c>
      <c r="F11" s="4"/>
    </row>
    <row r="12" spans="1:6" s="1" customFormat="1" ht="31.5" x14ac:dyDescent="0.25">
      <c r="A12" s="7">
        <v>3</v>
      </c>
      <c r="B12" s="8" t="s">
        <v>33</v>
      </c>
      <c r="C12" s="8" t="s">
        <v>14</v>
      </c>
      <c r="D12" s="7">
        <f>0.01+0.02</f>
        <v>0.03</v>
      </c>
      <c r="E12" s="7">
        <f>618.7+1263.19</f>
        <v>1881.89</v>
      </c>
      <c r="F12" s="4"/>
    </row>
    <row r="13" spans="1:6" s="1" customFormat="1" ht="15.75" x14ac:dyDescent="0.25">
      <c r="A13" s="7">
        <v>4</v>
      </c>
      <c r="B13" s="8" t="s">
        <v>80</v>
      </c>
      <c r="C13" s="8" t="s">
        <v>81</v>
      </c>
      <c r="D13" s="7">
        <f>2</f>
        <v>2</v>
      </c>
      <c r="E13" s="7">
        <f>102.42</f>
        <v>102.42</v>
      </c>
      <c r="F13" s="4"/>
    </row>
    <row r="14" spans="1:6" s="1" customFormat="1" ht="15.75" x14ac:dyDescent="0.25">
      <c r="A14" s="7">
        <v>5</v>
      </c>
      <c r="B14" s="8" t="s">
        <v>82</v>
      </c>
      <c r="C14" s="8" t="s">
        <v>14</v>
      </c>
      <c r="D14" s="7">
        <f>0.03+0.01+0.02</f>
        <v>0.06</v>
      </c>
      <c r="E14" s="7">
        <f>8078.09+2917.62+2765.22+276.82+4940.01+1390.31</f>
        <v>20368.07</v>
      </c>
      <c r="F14" s="4"/>
    </row>
    <row r="15" spans="1:6" s="1" customFormat="1" ht="15.75" x14ac:dyDescent="0.25">
      <c r="A15" s="7">
        <v>6</v>
      </c>
      <c r="B15" s="8" t="s">
        <v>38</v>
      </c>
      <c r="C15" s="8" t="s">
        <v>14</v>
      </c>
      <c r="D15" s="7">
        <f>0.01+0.01</f>
        <v>0.02</v>
      </c>
      <c r="E15" s="7">
        <f>142.89+146.18</f>
        <v>289.07</v>
      </c>
      <c r="F15" s="4"/>
    </row>
    <row r="16" spans="1:6" s="1" customFormat="1" ht="47.25" x14ac:dyDescent="0.25">
      <c r="A16" s="7">
        <v>7</v>
      </c>
      <c r="B16" s="8" t="s">
        <v>31</v>
      </c>
      <c r="C16" s="8" t="s">
        <v>32</v>
      </c>
      <c r="D16" s="7">
        <v>0.45</v>
      </c>
      <c r="E16" s="7">
        <f>1859.05+1859.05+1859.05+1859.05+1909.11+1964.76+1964.76+1964.76+1964.76+1964.76+1964.76</f>
        <v>21133.869999999995</v>
      </c>
      <c r="F16" s="4"/>
    </row>
    <row r="17" spans="1:6" ht="47.25" x14ac:dyDescent="0.25">
      <c r="A17" s="7">
        <v>8</v>
      </c>
      <c r="B17" s="8" t="s">
        <v>16</v>
      </c>
      <c r="C17" s="8" t="s">
        <v>13</v>
      </c>
      <c r="D17" s="7">
        <v>40.1</v>
      </c>
      <c r="E17" s="7">
        <f>169243.82</f>
        <v>169243.82</v>
      </c>
      <c r="F17" s="4"/>
    </row>
    <row r="18" spans="1:6" s="1" customFormat="1" ht="31.5" x14ac:dyDescent="0.25">
      <c r="A18" s="7">
        <v>9</v>
      </c>
      <c r="B18" s="8" t="s">
        <v>18</v>
      </c>
      <c r="C18" s="8" t="s">
        <v>14</v>
      </c>
      <c r="D18" s="7">
        <f>0.01</f>
        <v>0.01</v>
      </c>
      <c r="E18" s="7">
        <f>897.03</f>
        <v>897.03</v>
      </c>
      <c r="F18" s="4"/>
    </row>
    <row r="19" spans="1:6" s="1" customFormat="1" ht="15.75" x14ac:dyDescent="0.25">
      <c r="A19" s="7">
        <v>10</v>
      </c>
      <c r="B19" s="8" t="s">
        <v>26</v>
      </c>
      <c r="C19" s="8" t="s">
        <v>14</v>
      </c>
      <c r="D19" s="7">
        <f>0.07</f>
        <v>7.0000000000000007E-2</v>
      </c>
      <c r="E19" s="7">
        <f>4623.99</f>
        <v>4623.99</v>
      </c>
      <c r="F19" s="4"/>
    </row>
    <row r="20" spans="1:6" s="1" customFormat="1" ht="78.75" x14ac:dyDescent="0.25">
      <c r="A20" s="7">
        <v>11</v>
      </c>
      <c r="B20" s="8" t="s">
        <v>27</v>
      </c>
      <c r="C20" s="8" t="s">
        <v>28</v>
      </c>
      <c r="D20" s="7">
        <v>4.9109999999999996</v>
      </c>
      <c r="E20" s="7">
        <f>8619.26+8619.26+8619.26+8619.26+8851.42+9109.37+9109.37+9109.37+9109.37+9109.37+9109.37</f>
        <v>97984.68</v>
      </c>
      <c r="F20" s="4"/>
    </row>
    <row r="21" spans="1:6" s="1" customFormat="1" ht="31.5" x14ac:dyDescent="0.25">
      <c r="A21" s="7">
        <v>12</v>
      </c>
      <c r="B21" s="8" t="s">
        <v>29</v>
      </c>
      <c r="C21" s="8" t="s">
        <v>30</v>
      </c>
      <c r="D21" s="7">
        <v>1.89</v>
      </c>
      <c r="E21" s="7">
        <v>56564.13</v>
      </c>
      <c r="F21" s="20"/>
    </row>
    <row r="22" spans="1:6" s="1" customFormat="1" ht="47.25" x14ac:dyDescent="0.25">
      <c r="A22" s="7">
        <v>13</v>
      </c>
      <c r="B22" s="8" t="s">
        <v>76</v>
      </c>
      <c r="C22" s="8" t="s">
        <v>13</v>
      </c>
      <c r="D22" s="7">
        <f>0.12+0.24+0.36+0.41+0.32+0.15+0.03+0.68+0.36+0.36</f>
        <v>3.03</v>
      </c>
      <c r="E22" s="7">
        <f>1756.22+3512.48+5268.7+6141.46+4793.34+2311.57+462.31+10479.11+5551.28+5551.28</f>
        <v>45827.75</v>
      </c>
      <c r="F22" s="4"/>
    </row>
    <row r="23" spans="1:6" s="1" customFormat="1" ht="47.25" x14ac:dyDescent="0.25">
      <c r="A23" s="7">
        <v>14</v>
      </c>
      <c r="B23" s="8" t="s">
        <v>37</v>
      </c>
      <c r="C23" s="8" t="s">
        <v>13</v>
      </c>
      <c r="D23" s="7">
        <f>0.52</f>
        <v>0.52</v>
      </c>
      <c r="E23" s="7">
        <f>25791.75</f>
        <v>25791.75</v>
      </c>
      <c r="F23" s="4"/>
    </row>
    <row r="24" spans="1:6" s="1" customFormat="1" ht="31.5" x14ac:dyDescent="0.25">
      <c r="A24" s="7">
        <v>15</v>
      </c>
      <c r="B24" s="8" t="s">
        <v>77</v>
      </c>
      <c r="C24" s="8" t="s">
        <v>78</v>
      </c>
      <c r="D24" s="7">
        <f>0.01+0.02</f>
        <v>0.03</v>
      </c>
      <c r="E24" s="7">
        <f>547.23+743.33</f>
        <v>1290.56</v>
      </c>
      <c r="F24" s="4"/>
    </row>
    <row r="25" spans="1:6" s="1" customFormat="1" ht="31.5" x14ac:dyDescent="0.25">
      <c r="A25" s="7">
        <v>16</v>
      </c>
      <c r="B25" s="8" t="s">
        <v>108</v>
      </c>
      <c r="C25" s="8" t="s">
        <v>78</v>
      </c>
      <c r="D25" s="7">
        <f>0.01</f>
        <v>0.01</v>
      </c>
      <c r="E25" s="7">
        <f>283.69</f>
        <v>283.69</v>
      </c>
      <c r="F25" s="4"/>
    </row>
    <row r="26" spans="1:6" ht="15.75" x14ac:dyDescent="0.25">
      <c r="A26" s="7"/>
      <c r="B26" s="8"/>
      <c r="C26" s="8"/>
      <c r="D26" s="7"/>
      <c r="E26" s="13">
        <f>SUM(E10:E25)</f>
        <v>467410.43</v>
      </c>
      <c r="F26" s="4"/>
    </row>
    <row r="27" spans="1:6" ht="15.75" x14ac:dyDescent="0.25">
      <c r="A27" s="7"/>
      <c r="B27" s="12" t="s">
        <v>12</v>
      </c>
      <c r="C27" s="8"/>
      <c r="D27" s="7"/>
      <c r="E27" s="7"/>
      <c r="F27" s="4"/>
    </row>
    <row r="28" spans="1:6" ht="31.5" x14ac:dyDescent="0.25">
      <c r="A28" s="7">
        <v>1</v>
      </c>
      <c r="B28" s="8" t="s">
        <v>41</v>
      </c>
      <c r="C28" s="8" t="s">
        <v>14</v>
      </c>
      <c r="D28" s="7">
        <f>0.06+0.02+0.03</f>
        <v>0.11</v>
      </c>
      <c r="E28" s="7">
        <f>3187.82+943.58+939.24+1633.52+471.79</f>
        <v>7175.95</v>
      </c>
      <c r="F28" s="4"/>
    </row>
    <row r="29" spans="1:6" s="1" customFormat="1" ht="47.25" x14ac:dyDescent="0.25">
      <c r="A29" s="7">
        <v>2</v>
      </c>
      <c r="B29" s="8" t="s">
        <v>39</v>
      </c>
      <c r="C29" s="8" t="s">
        <v>34</v>
      </c>
      <c r="D29" s="7">
        <f>0.015+0.02+0.02</f>
        <v>5.5000000000000007E-2</v>
      </c>
      <c r="E29" s="7">
        <f>1544.15+2058.85+2058.85</f>
        <v>5661.85</v>
      </c>
      <c r="F29" s="4"/>
    </row>
    <row r="30" spans="1:6" s="1" customFormat="1" ht="47.25" x14ac:dyDescent="0.25">
      <c r="A30" s="7">
        <v>3</v>
      </c>
      <c r="B30" s="8" t="s">
        <v>104</v>
      </c>
      <c r="C30" s="8" t="s">
        <v>34</v>
      </c>
      <c r="D30" s="7">
        <f>0.02</f>
        <v>0.02</v>
      </c>
      <c r="E30" s="7">
        <f>1267.78</f>
        <v>1267.78</v>
      </c>
      <c r="F30" s="4"/>
    </row>
    <row r="31" spans="1:6" s="1" customFormat="1" ht="47.25" x14ac:dyDescent="0.25">
      <c r="A31" s="7">
        <v>4</v>
      </c>
      <c r="B31" s="8" t="s">
        <v>105</v>
      </c>
      <c r="C31" s="8" t="s">
        <v>34</v>
      </c>
      <c r="D31" s="7">
        <f>0.005</f>
        <v>5.0000000000000001E-3</v>
      </c>
      <c r="E31" s="7">
        <f>422.51</f>
        <v>422.51</v>
      </c>
      <c r="F31" s="4"/>
    </row>
    <row r="32" spans="1:6" s="1" customFormat="1" ht="31.5" x14ac:dyDescent="0.25">
      <c r="A32" s="7">
        <v>5</v>
      </c>
      <c r="B32" s="8" t="s">
        <v>43</v>
      </c>
      <c r="C32" s="8" t="s">
        <v>42</v>
      </c>
      <c r="D32" s="7">
        <f>2</f>
        <v>2</v>
      </c>
      <c r="E32" s="7">
        <f>6807.38</f>
        <v>6807.38</v>
      </c>
      <c r="F32" s="4"/>
    </row>
    <row r="33" spans="1:6" s="1" customFormat="1" ht="31.5" x14ac:dyDescent="0.25">
      <c r="A33" s="7">
        <v>6</v>
      </c>
      <c r="B33" s="8" t="s">
        <v>100</v>
      </c>
      <c r="C33" s="8" t="s">
        <v>42</v>
      </c>
      <c r="D33" s="7">
        <f>2+2+2+2</f>
        <v>8</v>
      </c>
      <c r="E33" s="7">
        <f>6275.84+6275.84+6275.84+6450.67</f>
        <v>25278.190000000002</v>
      </c>
      <c r="F33" s="4"/>
    </row>
    <row r="34" spans="1:6" s="1" customFormat="1" ht="47.25" x14ac:dyDescent="0.25">
      <c r="A34" s="7">
        <v>7</v>
      </c>
      <c r="B34" s="8" t="s">
        <v>102</v>
      </c>
      <c r="C34" s="8" t="s">
        <v>34</v>
      </c>
      <c r="D34" s="7">
        <f>0.02+0.02+0.02</f>
        <v>0.06</v>
      </c>
      <c r="E34" s="7">
        <f>1625.15+1625.15+2825.07</f>
        <v>6075.3700000000008</v>
      </c>
      <c r="F34" s="4"/>
    </row>
    <row r="35" spans="1:6" s="1" customFormat="1" ht="47.25" x14ac:dyDescent="0.25">
      <c r="A35" s="7">
        <v>8</v>
      </c>
      <c r="B35" s="8" t="s">
        <v>109</v>
      </c>
      <c r="C35" s="8" t="s">
        <v>34</v>
      </c>
      <c r="D35" s="7">
        <v>0.04</v>
      </c>
      <c r="E35" s="7">
        <f>3300.87</f>
        <v>3300.87</v>
      </c>
      <c r="F35" s="4"/>
    </row>
    <row r="36" spans="1:6" s="18" customFormat="1" ht="47.25" x14ac:dyDescent="0.25">
      <c r="A36" s="7">
        <v>9</v>
      </c>
      <c r="B36" s="16" t="s">
        <v>96</v>
      </c>
      <c r="C36" s="16" t="s">
        <v>13</v>
      </c>
      <c r="D36" s="15">
        <f>0.02</f>
        <v>0.02</v>
      </c>
      <c r="E36" s="15">
        <f>2065.36</f>
        <v>2065.36</v>
      </c>
      <c r="F36" s="17"/>
    </row>
    <row r="37" spans="1:6" s="18" customFormat="1" ht="31.5" x14ac:dyDescent="0.25">
      <c r="A37" s="7">
        <v>10</v>
      </c>
      <c r="B37" s="16" t="s">
        <v>98</v>
      </c>
      <c r="C37" s="16" t="s">
        <v>42</v>
      </c>
      <c r="D37" s="15">
        <f>1</f>
        <v>1</v>
      </c>
      <c r="E37" s="15">
        <f>3164.86</f>
        <v>3164.86</v>
      </c>
      <c r="F37" s="17"/>
    </row>
    <row r="38" spans="1:6" s="18" customFormat="1" ht="31.5" x14ac:dyDescent="0.25">
      <c r="A38" s="7">
        <v>11</v>
      </c>
      <c r="B38" s="16" t="s">
        <v>99</v>
      </c>
      <c r="C38" s="16" t="s">
        <v>42</v>
      </c>
      <c r="D38" s="15">
        <v>4</v>
      </c>
      <c r="E38" s="15">
        <f>12977.47</f>
        <v>12977.47</v>
      </c>
      <c r="F38" s="17"/>
    </row>
    <row r="39" spans="1:6" s="1" customFormat="1" ht="94.5" x14ac:dyDescent="0.25">
      <c r="A39" s="7">
        <v>12</v>
      </c>
      <c r="B39" s="8" t="s">
        <v>94</v>
      </c>
      <c r="C39" s="8" t="s">
        <v>95</v>
      </c>
      <c r="D39" s="7">
        <f>0.005+0.05</f>
        <v>5.5E-2</v>
      </c>
      <c r="E39" s="7">
        <f>313.01+3105.54</f>
        <v>3418.55</v>
      </c>
      <c r="F39" s="4"/>
    </row>
    <row r="40" spans="1:6" s="1" customFormat="1" ht="31.5" x14ac:dyDescent="0.25">
      <c r="A40" s="7">
        <v>13</v>
      </c>
      <c r="B40" s="8" t="s">
        <v>83</v>
      </c>
      <c r="C40" s="8" t="s">
        <v>8</v>
      </c>
      <c r="D40" s="7">
        <f>2</f>
        <v>2</v>
      </c>
      <c r="E40" s="7">
        <f>22942.78</f>
        <v>22942.78</v>
      </c>
      <c r="F40" s="4"/>
    </row>
    <row r="41" spans="1:6" s="1" customFormat="1" ht="31.5" x14ac:dyDescent="0.25">
      <c r="A41" s="7">
        <v>14</v>
      </c>
      <c r="B41" s="8" t="s">
        <v>84</v>
      </c>
      <c r="C41" s="8" t="s">
        <v>46</v>
      </c>
      <c r="D41" s="7">
        <f>0.2</f>
        <v>0.2</v>
      </c>
      <c r="E41" s="7">
        <f>22758.79</f>
        <v>22758.79</v>
      </c>
      <c r="F41" s="4"/>
    </row>
    <row r="42" spans="1:6" s="1" customFormat="1" ht="31.5" x14ac:dyDescent="0.25">
      <c r="A42" s="7">
        <v>15</v>
      </c>
      <c r="B42" s="8" t="s">
        <v>85</v>
      </c>
      <c r="C42" s="8" t="s">
        <v>47</v>
      </c>
      <c r="D42" s="7">
        <f>2</f>
        <v>2</v>
      </c>
      <c r="E42" s="7">
        <f>3597.71</f>
        <v>3597.71</v>
      </c>
      <c r="F42" s="4"/>
    </row>
    <row r="43" spans="1:6" s="1" customFormat="1" ht="31.5" x14ac:dyDescent="0.25">
      <c r="A43" s="7">
        <v>16</v>
      </c>
      <c r="B43" s="8" t="s">
        <v>86</v>
      </c>
      <c r="C43" s="8" t="s">
        <v>47</v>
      </c>
      <c r="D43" s="7">
        <v>4</v>
      </c>
      <c r="E43" s="7">
        <f>11278.61</f>
        <v>11278.61</v>
      </c>
      <c r="F43" s="4"/>
    </row>
    <row r="44" spans="1:6" s="1" customFormat="1" ht="47.25" x14ac:dyDescent="0.25">
      <c r="A44" s="7">
        <v>17</v>
      </c>
      <c r="B44" s="8" t="s">
        <v>87</v>
      </c>
      <c r="C44" s="8" t="s">
        <v>13</v>
      </c>
      <c r="D44" s="7">
        <f>0.04</f>
        <v>0.04</v>
      </c>
      <c r="E44" s="7">
        <f>4825.65</f>
        <v>4825.6499999999996</v>
      </c>
      <c r="F44" s="4"/>
    </row>
    <row r="45" spans="1:6" s="1" customFormat="1" ht="47.25" x14ac:dyDescent="0.25">
      <c r="A45" s="7">
        <v>18</v>
      </c>
      <c r="B45" s="8" t="s">
        <v>48</v>
      </c>
      <c r="C45" s="8" t="s">
        <v>42</v>
      </c>
      <c r="D45" s="7">
        <f>6</f>
        <v>6</v>
      </c>
      <c r="E45" s="7">
        <f>17877.37</f>
        <v>17877.37</v>
      </c>
      <c r="F45" s="4"/>
    </row>
    <row r="46" spans="1:6" s="1" customFormat="1" ht="15.75" x14ac:dyDescent="0.25">
      <c r="A46" s="7">
        <v>19</v>
      </c>
      <c r="B46" s="8" t="s">
        <v>22</v>
      </c>
      <c r="C46" s="8" t="s">
        <v>24</v>
      </c>
      <c r="D46" s="7">
        <v>6</v>
      </c>
      <c r="E46" s="7">
        <f>4652.91</f>
        <v>4652.91</v>
      </c>
      <c r="F46" s="4"/>
    </row>
    <row r="47" spans="1:6" s="1" customFormat="1" ht="47.25" x14ac:dyDescent="0.25">
      <c r="A47" s="7">
        <v>20</v>
      </c>
      <c r="B47" s="8" t="s">
        <v>49</v>
      </c>
      <c r="C47" s="8" t="s">
        <v>42</v>
      </c>
      <c r="D47" s="7">
        <f>2+2</f>
        <v>4</v>
      </c>
      <c r="E47" s="7">
        <f>5959.14+6119.96</f>
        <v>12079.1</v>
      </c>
      <c r="F47" s="4"/>
    </row>
    <row r="48" spans="1:6" s="1" customFormat="1" ht="15.75" x14ac:dyDescent="0.25">
      <c r="A48" s="7">
        <v>21</v>
      </c>
      <c r="B48" s="8" t="s">
        <v>23</v>
      </c>
      <c r="C48" s="8" t="s">
        <v>24</v>
      </c>
      <c r="D48" s="7">
        <f>2</f>
        <v>2</v>
      </c>
      <c r="E48" s="7">
        <f>2201.69</f>
        <v>2201.69</v>
      </c>
      <c r="F48" s="4"/>
    </row>
    <row r="49" spans="1:6" s="1" customFormat="1" ht="47.25" x14ac:dyDescent="0.25">
      <c r="A49" s="7">
        <v>22</v>
      </c>
      <c r="B49" s="8" t="s">
        <v>50</v>
      </c>
      <c r="C49" s="8" t="s">
        <v>42</v>
      </c>
      <c r="D49" s="7">
        <f>2</f>
        <v>2</v>
      </c>
      <c r="E49" s="7">
        <f>5959.14</f>
        <v>5959.14</v>
      </c>
      <c r="F49" s="4"/>
    </row>
    <row r="50" spans="1:6" s="1" customFormat="1" ht="47.25" x14ac:dyDescent="0.25">
      <c r="A50" s="7">
        <v>23</v>
      </c>
      <c r="B50" s="8" t="s">
        <v>51</v>
      </c>
      <c r="C50" s="8" t="s">
        <v>42</v>
      </c>
      <c r="D50" s="7">
        <f>2</f>
        <v>2</v>
      </c>
      <c r="E50" s="7">
        <f>6168.59</f>
        <v>6168.59</v>
      </c>
      <c r="F50" s="4"/>
    </row>
    <row r="51" spans="1:6" s="1" customFormat="1" ht="31.5" x14ac:dyDescent="0.25">
      <c r="A51" s="7">
        <v>24</v>
      </c>
      <c r="B51" s="8" t="s">
        <v>97</v>
      </c>
      <c r="C51" s="8" t="s">
        <v>52</v>
      </c>
      <c r="D51" s="7">
        <f>2+2+5</f>
        <v>9</v>
      </c>
      <c r="E51" s="7">
        <f>7448.46+1109.54+2585.88+1976.33+194.29</f>
        <v>13314.500000000002</v>
      </c>
      <c r="F51" s="4"/>
    </row>
    <row r="52" spans="1:6" s="1" customFormat="1" ht="47.25" x14ac:dyDescent="0.25">
      <c r="A52" s="7">
        <v>25</v>
      </c>
      <c r="B52" s="8" t="s">
        <v>17</v>
      </c>
      <c r="C52" s="8" t="s">
        <v>13</v>
      </c>
      <c r="D52" s="7">
        <v>0.54</v>
      </c>
      <c r="E52" s="7">
        <f>2189.46</f>
        <v>2189.46</v>
      </c>
      <c r="F52" s="4"/>
    </row>
    <row r="53" spans="1:6" s="1" customFormat="1" ht="47.25" x14ac:dyDescent="0.25">
      <c r="A53" s="7">
        <v>26</v>
      </c>
      <c r="B53" s="8" t="s">
        <v>17</v>
      </c>
      <c r="C53" s="8" t="s">
        <v>13</v>
      </c>
      <c r="D53" s="7">
        <f>0.51</f>
        <v>0.51</v>
      </c>
      <c r="E53" s="7">
        <f>2160.5</f>
        <v>2160.5</v>
      </c>
      <c r="F53" s="4"/>
    </row>
    <row r="54" spans="1:6" s="1" customFormat="1" ht="78.75" x14ac:dyDescent="0.25">
      <c r="A54" s="7">
        <v>27</v>
      </c>
      <c r="B54" s="8" t="s">
        <v>53</v>
      </c>
      <c r="C54" s="8" t="s">
        <v>15</v>
      </c>
      <c r="D54" s="7">
        <f>0.1</f>
        <v>0.1</v>
      </c>
      <c r="E54" s="7">
        <f>377.8</f>
        <v>377.8</v>
      </c>
      <c r="F54" s="4"/>
    </row>
    <row r="55" spans="1:6" s="1" customFormat="1" ht="78.75" x14ac:dyDescent="0.25">
      <c r="A55" s="7">
        <v>28</v>
      </c>
      <c r="B55" s="8" t="s">
        <v>54</v>
      </c>
      <c r="C55" s="8" t="s">
        <v>15</v>
      </c>
      <c r="D55" s="7">
        <f>0.1</f>
        <v>0.1</v>
      </c>
      <c r="E55" s="7">
        <f>292.42</f>
        <v>292.42</v>
      </c>
      <c r="F55" s="4"/>
    </row>
    <row r="56" spans="1:6" s="1" customFormat="1" ht="78.75" x14ac:dyDescent="0.25">
      <c r="A56" s="7">
        <v>29</v>
      </c>
      <c r="B56" s="8" t="s">
        <v>55</v>
      </c>
      <c r="C56" s="8" t="s">
        <v>15</v>
      </c>
      <c r="D56" s="7">
        <f>0.7</f>
        <v>0.7</v>
      </c>
      <c r="E56" s="7">
        <f>3465.79</f>
        <v>3465.79</v>
      </c>
      <c r="F56" s="4"/>
    </row>
    <row r="57" spans="1:6" s="1" customFormat="1" ht="47.25" x14ac:dyDescent="0.25">
      <c r="A57" s="7">
        <v>30</v>
      </c>
      <c r="B57" s="8" t="s">
        <v>88</v>
      </c>
      <c r="C57" s="8" t="s">
        <v>89</v>
      </c>
      <c r="D57" s="7">
        <f>60.3</f>
        <v>60.3</v>
      </c>
      <c r="E57" s="7">
        <f>84903.04</f>
        <v>84903.039999999994</v>
      </c>
      <c r="F57" s="4"/>
    </row>
    <row r="58" spans="1:6" s="1" customFormat="1" ht="47.25" x14ac:dyDescent="0.25">
      <c r="A58" s="7">
        <v>31</v>
      </c>
      <c r="B58" s="8" t="s">
        <v>90</v>
      </c>
      <c r="C58" s="8" t="s">
        <v>91</v>
      </c>
      <c r="D58" s="7">
        <f>0.075</f>
        <v>7.4999999999999997E-2</v>
      </c>
      <c r="E58" s="7">
        <f>5836.68</f>
        <v>5836.68</v>
      </c>
      <c r="F58" s="4"/>
    </row>
    <row r="59" spans="1:6" s="1" customFormat="1" ht="31.5" x14ac:dyDescent="0.25">
      <c r="A59" s="7">
        <v>32</v>
      </c>
      <c r="B59" s="8" t="s">
        <v>56</v>
      </c>
      <c r="C59" s="8" t="s">
        <v>52</v>
      </c>
      <c r="D59" s="7">
        <f>1+2</f>
        <v>3</v>
      </c>
      <c r="E59" s="7">
        <f>1462.61+13529.88+2925.23+4147.7</f>
        <v>22065.420000000002</v>
      </c>
      <c r="F59" s="4"/>
    </row>
    <row r="60" spans="1:6" s="1" customFormat="1" ht="31.5" x14ac:dyDescent="0.25">
      <c r="A60" s="7">
        <v>33</v>
      </c>
      <c r="B60" s="8" t="s">
        <v>57</v>
      </c>
      <c r="C60" s="8" t="s">
        <v>52</v>
      </c>
      <c r="D60" s="7">
        <v>2</v>
      </c>
      <c r="E60" s="7">
        <f>3909.14+25672.08</f>
        <v>29581.22</v>
      </c>
      <c r="F60" s="4"/>
    </row>
    <row r="61" spans="1:6" s="1" customFormat="1" ht="31.5" x14ac:dyDescent="0.25">
      <c r="A61" s="7">
        <v>34</v>
      </c>
      <c r="B61" s="8" t="s">
        <v>58</v>
      </c>
      <c r="C61" s="8" t="s">
        <v>52</v>
      </c>
      <c r="D61" s="7">
        <f>2</f>
        <v>2</v>
      </c>
      <c r="E61" s="7">
        <f>982.14+7382.08</f>
        <v>8364.2199999999993</v>
      </c>
      <c r="F61" s="4"/>
    </row>
    <row r="62" spans="1:6" s="1" customFormat="1" ht="31.5" x14ac:dyDescent="0.25">
      <c r="A62" s="7">
        <v>35</v>
      </c>
      <c r="B62" s="8" t="s">
        <v>58</v>
      </c>
      <c r="C62" s="8" t="s">
        <v>52</v>
      </c>
      <c r="D62" s="7">
        <f>1</f>
        <v>1</v>
      </c>
      <c r="E62" s="7">
        <f>491.09+3256.8</f>
        <v>3747.8900000000003</v>
      </c>
      <c r="F62" s="4"/>
    </row>
    <row r="63" spans="1:6" s="1" customFormat="1" ht="15.75" x14ac:dyDescent="0.25">
      <c r="A63" s="7">
        <v>36</v>
      </c>
      <c r="B63" s="8" t="s">
        <v>59</v>
      </c>
      <c r="C63" s="8" t="s">
        <v>14</v>
      </c>
      <c r="D63" s="7">
        <f>0.06</f>
        <v>0.06</v>
      </c>
      <c r="E63" s="7">
        <f>4404.04+214.52+9987.77</f>
        <v>14606.330000000002</v>
      </c>
      <c r="F63" s="4"/>
    </row>
    <row r="64" spans="1:6" s="1" customFormat="1" ht="15.75" x14ac:dyDescent="0.25">
      <c r="A64" s="7">
        <v>37</v>
      </c>
      <c r="B64" s="8" t="s">
        <v>60</v>
      </c>
      <c r="C64" s="8" t="s">
        <v>61</v>
      </c>
      <c r="D64" s="7">
        <v>1</v>
      </c>
      <c r="E64" s="7">
        <f>1583.99+1189.81</f>
        <v>2773.8</v>
      </c>
      <c r="F64" s="4"/>
    </row>
    <row r="65" spans="1:6" s="1" customFormat="1" ht="47.25" x14ac:dyDescent="0.25">
      <c r="A65" s="7">
        <v>38</v>
      </c>
      <c r="B65" s="8" t="s">
        <v>62</v>
      </c>
      <c r="C65" s="8" t="s">
        <v>52</v>
      </c>
      <c r="D65" s="7">
        <v>1</v>
      </c>
      <c r="E65" s="7">
        <f>249+1442.37</f>
        <v>1691.37</v>
      </c>
      <c r="F65" s="4"/>
    </row>
    <row r="66" spans="1:6" s="1" customFormat="1" ht="31.5" x14ac:dyDescent="0.25">
      <c r="A66" s="7">
        <v>39</v>
      </c>
      <c r="B66" s="8" t="s">
        <v>63</v>
      </c>
      <c r="C66" s="8" t="s">
        <v>40</v>
      </c>
      <c r="D66" s="7">
        <v>0.2</v>
      </c>
      <c r="E66" s="7">
        <f>3625.52+326.9</f>
        <v>3952.42</v>
      </c>
      <c r="F66" s="4"/>
    </row>
    <row r="67" spans="1:6" s="1" customFormat="1" ht="15.75" x14ac:dyDescent="0.25">
      <c r="A67" s="7">
        <v>40</v>
      </c>
      <c r="B67" s="8" t="s">
        <v>64</v>
      </c>
      <c r="C67" s="8" t="s">
        <v>40</v>
      </c>
      <c r="D67" s="7">
        <f>0.5</f>
        <v>0.5</v>
      </c>
      <c r="E67" s="7">
        <f>1113.21+328.8+46.59</f>
        <v>1488.6</v>
      </c>
      <c r="F67" s="4"/>
    </row>
    <row r="68" spans="1:6" s="1" customFormat="1" ht="15.75" x14ac:dyDescent="0.25">
      <c r="A68" s="7">
        <v>41</v>
      </c>
      <c r="B68" s="8" t="s">
        <v>65</v>
      </c>
      <c r="C68" s="8" t="s">
        <v>40</v>
      </c>
      <c r="D68" s="7">
        <v>1</v>
      </c>
      <c r="E68" s="7">
        <f>5863.33+1935.06</f>
        <v>7798.3899999999994</v>
      </c>
      <c r="F68" s="4"/>
    </row>
    <row r="69" spans="1:6" s="1" customFormat="1" ht="47.25" x14ac:dyDescent="0.25">
      <c r="A69" s="7">
        <v>42</v>
      </c>
      <c r="B69" s="8" t="s">
        <v>66</v>
      </c>
      <c r="C69" s="8" t="s">
        <v>67</v>
      </c>
      <c r="D69" s="7">
        <v>0.24</v>
      </c>
      <c r="E69" s="7">
        <f>1342.81</f>
        <v>1342.81</v>
      </c>
      <c r="F69" s="4"/>
    </row>
    <row r="70" spans="1:6" s="1" customFormat="1" ht="15.75" x14ac:dyDescent="0.25">
      <c r="A70" s="7">
        <v>43</v>
      </c>
      <c r="B70" s="8" t="s">
        <v>68</v>
      </c>
      <c r="C70" s="8" t="s">
        <v>8</v>
      </c>
      <c r="D70" s="7">
        <v>2</v>
      </c>
      <c r="E70" s="7">
        <f>960.69+548.1</f>
        <v>1508.79</v>
      </c>
      <c r="F70" s="4"/>
    </row>
    <row r="71" spans="1:6" s="1" customFormat="1" ht="31.5" x14ac:dyDescent="0.25">
      <c r="A71" s="7">
        <v>44</v>
      </c>
      <c r="B71" s="8" t="s">
        <v>69</v>
      </c>
      <c r="C71" s="8" t="s">
        <v>14</v>
      </c>
      <c r="D71" s="7">
        <v>0.01</v>
      </c>
      <c r="E71" s="7">
        <f>321.74+15.59</f>
        <v>337.33</v>
      </c>
      <c r="F71" s="4"/>
    </row>
    <row r="72" spans="1:6" s="1" customFormat="1" ht="15.75" x14ac:dyDescent="0.25">
      <c r="A72" s="7">
        <v>45</v>
      </c>
      <c r="B72" s="8" t="s">
        <v>92</v>
      </c>
      <c r="C72" s="8" t="s">
        <v>93</v>
      </c>
      <c r="D72" s="7">
        <f>0.002</f>
        <v>2E-3</v>
      </c>
      <c r="E72" s="7">
        <f>58.51+1393.25</f>
        <v>1451.76</v>
      </c>
      <c r="F72" s="4"/>
    </row>
    <row r="73" spans="1:6" s="1" customFormat="1" ht="47.25" x14ac:dyDescent="0.25">
      <c r="A73" s="7">
        <v>46</v>
      </c>
      <c r="B73" s="8" t="s">
        <v>62</v>
      </c>
      <c r="C73" s="8">
        <v>1</v>
      </c>
      <c r="D73" s="7">
        <v>1</v>
      </c>
      <c r="E73" s="7">
        <f>249+9182</f>
        <v>9431</v>
      </c>
      <c r="F73" s="4"/>
    </row>
    <row r="74" spans="1:6" s="1" customFormat="1" ht="31.5" x14ac:dyDescent="0.25">
      <c r="A74" s="7">
        <v>47</v>
      </c>
      <c r="B74" s="8" t="s">
        <v>70</v>
      </c>
      <c r="C74" s="8" t="s">
        <v>24</v>
      </c>
      <c r="D74" s="7">
        <v>1</v>
      </c>
      <c r="E74" s="7">
        <f>147781.94</f>
        <v>147781.94</v>
      </c>
      <c r="F74" s="4"/>
    </row>
    <row r="75" spans="1:6" s="18" customFormat="1" ht="15.75" x14ac:dyDescent="0.25">
      <c r="A75" s="7">
        <v>48</v>
      </c>
      <c r="B75" s="16" t="s">
        <v>71</v>
      </c>
      <c r="C75" s="16" t="s">
        <v>72</v>
      </c>
      <c r="D75" s="15">
        <v>1</v>
      </c>
      <c r="E75" s="15">
        <f>14081.06</f>
        <v>14081.06</v>
      </c>
      <c r="F75" s="17"/>
    </row>
    <row r="76" spans="1:6" s="18" customFormat="1" ht="15.75" x14ac:dyDescent="0.25">
      <c r="A76" s="7">
        <v>49</v>
      </c>
      <c r="B76" s="16" t="s">
        <v>110</v>
      </c>
      <c r="C76" s="16" t="s">
        <v>61</v>
      </c>
      <c r="D76" s="15">
        <v>2</v>
      </c>
      <c r="E76" s="15">
        <f>555002.16+390847.62</f>
        <v>945849.78</v>
      </c>
      <c r="F76" s="17"/>
    </row>
    <row r="77" spans="1:6" s="1" customFormat="1" ht="47.25" x14ac:dyDescent="0.25">
      <c r="A77" s="7">
        <v>50</v>
      </c>
      <c r="B77" s="8" t="s">
        <v>101</v>
      </c>
      <c r="C77" s="8" t="s">
        <v>73</v>
      </c>
      <c r="D77" s="7">
        <f>0.25+8</f>
        <v>8.25</v>
      </c>
      <c r="E77" s="7">
        <f>10396.68+311766.91</f>
        <v>322163.58999999997</v>
      </c>
      <c r="F77" s="4"/>
    </row>
    <row r="78" spans="1:6" s="1" customFormat="1" ht="31.5" x14ac:dyDescent="0.25">
      <c r="A78" s="7">
        <v>51</v>
      </c>
      <c r="B78" s="8" t="s">
        <v>107</v>
      </c>
      <c r="C78" s="8" t="s">
        <v>61</v>
      </c>
      <c r="D78" s="7">
        <f>11+1</f>
        <v>12</v>
      </c>
      <c r="E78" s="7">
        <f>280000.05+26000</f>
        <v>306000.05</v>
      </c>
      <c r="F78" s="4"/>
    </row>
    <row r="79" spans="1:6" s="1" customFormat="1" ht="15.75" x14ac:dyDescent="0.25">
      <c r="A79" s="7">
        <v>52</v>
      </c>
      <c r="B79" s="8" t="s">
        <v>79</v>
      </c>
      <c r="C79" s="8" t="s">
        <v>40</v>
      </c>
      <c r="D79" s="7">
        <f>0.12</f>
        <v>0.12</v>
      </c>
      <c r="E79" s="7">
        <f>1061.93+151.43+80.79</f>
        <v>1294.1500000000001</v>
      </c>
      <c r="F79" s="4"/>
    </row>
    <row r="80" spans="1:6" s="1" customFormat="1" ht="15.75" x14ac:dyDescent="0.25">
      <c r="A80" s="7">
        <v>53</v>
      </c>
      <c r="B80" s="8" t="s">
        <v>111</v>
      </c>
      <c r="C80" s="8" t="s">
        <v>52</v>
      </c>
      <c r="D80" s="7">
        <f>3</f>
        <v>3</v>
      </c>
      <c r="E80" s="7">
        <f>1858.38+791.78+893.46</f>
        <v>3543.62</v>
      </c>
      <c r="F80" s="4"/>
    </row>
    <row r="81" spans="1:7" s="1" customFormat="1" ht="15.75" x14ac:dyDescent="0.25">
      <c r="A81" s="7">
        <v>54</v>
      </c>
      <c r="B81" s="8" t="s">
        <v>103</v>
      </c>
      <c r="C81" s="8" t="s">
        <v>8</v>
      </c>
      <c r="D81" s="7">
        <f>1+1</f>
        <v>2</v>
      </c>
      <c r="E81" s="7">
        <f>705.41+1553+2845.81+2090.22</f>
        <v>7194.4399999999987</v>
      </c>
      <c r="F81" s="4"/>
    </row>
    <row r="82" spans="1:7" s="1" customFormat="1" ht="47.25" x14ac:dyDescent="0.25">
      <c r="A82" s="7">
        <v>55</v>
      </c>
      <c r="B82" s="8" t="s">
        <v>35</v>
      </c>
      <c r="C82" s="8" t="s">
        <v>36</v>
      </c>
      <c r="D82" s="7">
        <f>20+10</f>
        <v>30</v>
      </c>
      <c r="E82" s="7">
        <f>17552.2+8776.1</f>
        <v>26328.300000000003</v>
      </c>
      <c r="F82" s="4"/>
    </row>
    <row r="83" spans="1:7" s="1" customFormat="1" ht="15.75" x14ac:dyDescent="0.25">
      <c r="A83" s="7">
        <v>56</v>
      </c>
      <c r="B83" s="8" t="s">
        <v>106</v>
      </c>
      <c r="C83" s="8" t="s">
        <v>61</v>
      </c>
      <c r="D83" s="7">
        <v>1</v>
      </c>
      <c r="E83" s="7">
        <f>10000</f>
        <v>10000</v>
      </c>
      <c r="F83" s="4"/>
    </row>
    <row r="84" spans="1:7" s="1" customFormat="1" ht="15.75" x14ac:dyDescent="0.25">
      <c r="A84" s="7">
        <v>57</v>
      </c>
      <c r="B84" s="8" t="s">
        <v>44</v>
      </c>
      <c r="C84" s="8" t="s">
        <v>45</v>
      </c>
      <c r="D84" s="7">
        <f>0.03+0.5</f>
        <v>0.53</v>
      </c>
      <c r="E84" s="7">
        <f>45.6+759.96</f>
        <v>805.56000000000006</v>
      </c>
      <c r="F84" s="4"/>
    </row>
    <row r="85" spans="1:7" s="1" customFormat="1" ht="31.5" x14ac:dyDescent="0.25">
      <c r="A85" s="7">
        <v>58</v>
      </c>
      <c r="B85" s="8" t="s">
        <v>112</v>
      </c>
      <c r="C85" s="19" t="s">
        <v>113</v>
      </c>
      <c r="D85" s="7">
        <v>150</v>
      </c>
      <c r="E85" s="7">
        <v>2187</v>
      </c>
      <c r="F85" s="4"/>
    </row>
    <row r="86" spans="1:7" s="1" customFormat="1" ht="15.75" x14ac:dyDescent="0.25">
      <c r="A86" s="7"/>
      <c r="B86" s="8"/>
      <c r="C86" s="8"/>
      <c r="D86" s="7"/>
      <c r="E86" s="13">
        <f>SUM(E28:E85)</f>
        <v>2201869.5099999998</v>
      </c>
      <c r="F86" s="4"/>
    </row>
    <row r="87" spans="1:7" ht="15.75" x14ac:dyDescent="0.25">
      <c r="A87" s="7"/>
      <c r="B87" s="8" t="s">
        <v>10</v>
      </c>
      <c r="C87" s="7"/>
      <c r="D87" s="7"/>
      <c r="E87" s="9">
        <f>E26+E86</f>
        <v>2669279.94</v>
      </c>
      <c r="F87" s="4"/>
    </row>
    <row r="88" spans="1:7" ht="15.75" x14ac:dyDescent="0.25">
      <c r="A88" s="7"/>
      <c r="B88" s="8"/>
      <c r="C88" s="7"/>
      <c r="D88" s="7"/>
      <c r="E88" s="7"/>
      <c r="F88" s="4"/>
    </row>
    <row r="89" spans="1:7" ht="15.75" x14ac:dyDescent="0.25">
      <c r="A89" s="10"/>
      <c r="B89" s="10"/>
      <c r="C89" s="10"/>
      <c r="D89" s="10"/>
      <c r="E89" s="10"/>
      <c r="F89" s="4"/>
    </row>
    <row r="90" spans="1:7" ht="15.75" x14ac:dyDescent="0.25">
      <c r="A90" s="10"/>
      <c r="B90" s="10" t="s">
        <v>19</v>
      </c>
      <c r="C90" s="10" t="s">
        <v>20</v>
      </c>
      <c r="D90" s="10"/>
      <c r="E90" s="10"/>
      <c r="F90" s="1"/>
    </row>
    <row r="91" spans="1:7" x14ac:dyDescent="0.25">
      <c r="A91" s="2"/>
      <c r="B91" s="2"/>
      <c r="C91" s="2"/>
      <c r="D91" s="2"/>
      <c r="E91" s="2"/>
      <c r="F91" s="1"/>
    </row>
    <row r="92" spans="1:7" x14ac:dyDescent="0.25">
      <c r="A92" s="2"/>
      <c r="B92" s="2"/>
      <c r="C92" s="2"/>
      <c r="D92" s="2"/>
      <c r="E92" s="2"/>
      <c r="F92" s="1"/>
    </row>
    <row r="93" spans="1:7" x14ac:dyDescent="0.25">
      <c r="A93" s="2"/>
      <c r="B93" s="2" t="s">
        <v>21</v>
      </c>
      <c r="C93" s="2"/>
      <c r="D93" s="2"/>
      <c r="E93" s="2"/>
      <c r="F93" s="1"/>
    </row>
    <row r="94" spans="1:7" x14ac:dyDescent="0.25">
      <c r="A94" s="2"/>
      <c r="B94" s="2"/>
      <c r="C94" s="2"/>
      <c r="D94" s="2"/>
      <c r="E94" s="2"/>
      <c r="F94" s="14"/>
      <c r="G94" s="14"/>
    </row>
    <row r="95" spans="1:7" x14ac:dyDescent="0.25">
      <c r="A95" s="2"/>
      <c r="B95" s="2"/>
      <c r="C95" s="2"/>
      <c r="D95" s="2"/>
      <c r="E95" s="2"/>
    </row>
    <row r="96" spans="1:7" x14ac:dyDescent="0.25">
      <c r="A96" s="2"/>
      <c r="B96" s="2"/>
      <c r="C96" s="2"/>
      <c r="D96" s="2"/>
      <c r="E96" s="2"/>
      <c r="F96" s="14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2018-04-18T13:10:22Z</cp:lastPrinted>
  <dcterms:created xsi:type="dcterms:W3CDTF">2016-09-29T06:37:31Z</dcterms:created>
  <dcterms:modified xsi:type="dcterms:W3CDTF">2018-04-19T08:29:50Z</dcterms:modified>
</cp:coreProperties>
</file>