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и по вып работ за 2017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83" i="1" l="1"/>
  <c r="E82" i="1"/>
  <c r="E80" i="1" l="1"/>
  <c r="E27" i="1"/>
  <c r="D27" i="1"/>
  <c r="E34" i="1"/>
  <c r="D34" i="1"/>
  <c r="E42" i="1"/>
  <c r="D42" i="1"/>
  <c r="D80" i="1"/>
  <c r="E72" i="1"/>
  <c r="D72" i="1"/>
  <c r="E77" i="1"/>
  <c r="D77" i="1"/>
  <c r="E15" i="1"/>
  <c r="E13" i="1"/>
  <c r="D13" i="1"/>
  <c r="E10" i="1"/>
  <c r="D10" i="1"/>
  <c r="E11" i="1"/>
  <c r="D11" i="1"/>
  <c r="E19" i="1"/>
  <c r="E21" i="1"/>
  <c r="D21" i="1"/>
  <c r="E20" i="1"/>
  <c r="D20" i="1"/>
  <c r="E18" i="1"/>
  <c r="E17" i="1"/>
  <c r="D17" i="1"/>
  <c r="E16" i="1"/>
  <c r="D16" i="1"/>
  <c r="E71" i="1"/>
  <c r="D71" i="1"/>
  <c r="E70" i="1"/>
  <c r="D70" i="1"/>
  <c r="E69" i="1"/>
  <c r="D69" i="1"/>
  <c r="E68" i="1"/>
  <c r="D68" i="1"/>
  <c r="E67" i="1"/>
  <c r="D67" i="1"/>
  <c r="E66" i="1"/>
  <c r="E65" i="1"/>
  <c r="D65" i="1"/>
  <c r="E64" i="1"/>
  <c r="D64" i="1"/>
  <c r="E63" i="1"/>
  <c r="D63" i="1"/>
  <c r="E62" i="1"/>
  <c r="D62" i="1"/>
  <c r="E61" i="1"/>
  <c r="D61" i="1"/>
  <c r="D60" i="1"/>
  <c r="E60" i="1"/>
  <c r="E58" i="1"/>
  <c r="D58" i="1"/>
  <c r="E59" i="1"/>
  <c r="D59" i="1"/>
  <c r="E57" i="1"/>
  <c r="D57" i="1"/>
  <c r="E56" i="1"/>
  <c r="E37" i="1"/>
  <c r="D37" i="1"/>
  <c r="E40" i="1"/>
  <c r="D40" i="1"/>
  <c r="E49" i="1"/>
  <c r="D49" i="1"/>
  <c r="E55" i="1"/>
  <c r="D55" i="1"/>
  <c r="E54" i="1"/>
  <c r="D54" i="1"/>
  <c r="E52" i="1"/>
  <c r="D52" i="1"/>
  <c r="E53" i="1"/>
  <c r="D53" i="1"/>
  <c r="E48" i="1"/>
  <c r="E51" i="1"/>
  <c r="E50" i="1"/>
  <c r="D50" i="1"/>
  <c r="E47" i="1"/>
  <c r="D47" i="1"/>
  <c r="E46" i="1"/>
  <c r="D46" i="1"/>
  <c r="E45" i="1"/>
  <c r="D45" i="1"/>
  <c r="E44" i="1"/>
  <c r="E43" i="1"/>
  <c r="E81" i="1"/>
  <c r="D81" i="1"/>
  <c r="E79" i="1"/>
  <c r="D79" i="1"/>
  <c r="E76" i="1"/>
  <c r="D76" i="1"/>
  <c r="E23" i="1"/>
  <c r="D23" i="1"/>
  <c r="E33" i="1"/>
  <c r="D33" i="1"/>
  <c r="E28" i="1"/>
  <c r="D28" i="1"/>
  <c r="E39" i="1"/>
  <c r="D39" i="1"/>
  <c r="E38" i="1"/>
  <c r="D38" i="1"/>
  <c r="E35" i="1"/>
  <c r="D35" i="1"/>
  <c r="E41" i="1"/>
  <c r="D41" i="1"/>
  <c r="E22" i="1"/>
  <c r="D22" i="1"/>
  <c r="D18" i="1"/>
  <c r="E30" i="1"/>
  <c r="D30" i="1"/>
  <c r="E36" i="1"/>
  <c r="D36" i="1"/>
  <c r="E32" i="1"/>
  <c r="D32" i="1"/>
  <c r="E29" i="1"/>
  <c r="E14" i="1"/>
  <c r="D14" i="1"/>
  <c r="E12" i="1"/>
  <c r="D12" i="1" l="1"/>
  <c r="D29" i="1"/>
  <c r="E75" i="1"/>
  <c r="E74" i="1"/>
  <c r="E73" i="1" l="1"/>
  <c r="D73" i="1"/>
  <c r="D26" i="1" l="1"/>
  <c r="E26" i="1"/>
  <c r="E78" i="1"/>
  <c r="D78" i="1"/>
  <c r="E31" i="1"/>
  <c r="D31" i="1"/>
  <c r="D15" i="1"/>
  <c r="E24" i="1" l="1"/>
  <c r="E84" i="1" l="1"/>
</calcChain>
</file>

<file path=xl/sharedStrings.xml><?xml version="1.0" encoding="utf-8"?>
<sst xmlns="http://schemas.openxmlformats.org/spreadsheetml/2006/main" count="159" uniqueCount="114">
  <si>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</si>
  <si>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</si>
  <si>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</si>
  <si>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</si>
  <si>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</si>
  <si>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</si>
  <si>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</si>
  <si>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</si>
  <si>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1шт</t>
  </si>
  <si>
    <t>Смена ламп энергосберегающих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</si>
  <si>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</si>
  <si>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</si>
  <si>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</si>
  <si>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</si>
  <si>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</si>
  <si>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</si>
  <si>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Установка хомутов диаметром трубопроводов до 100мм</t>
  </si>
  <si>
    <t>Директор</t>
  </si>
  <si>
    <t>Табатадзе А.А.</t>
  </si>
  <si>
    <t>Исп.Захарова О.Е.</t>
  </si>
  <si>
    <t>1 компл.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</si>
  <si>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</si>
  <si>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</si>
  <si>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</si>
  <si>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</si>
  <si>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</si>
  <si>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</si>
  <si>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</si>
  <si>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</si>
  <si>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100м  трубопровода</t>
  </si>
  <si>
    <t>Очистка канализационной сети дворовой</t>
  </si>
  <si>
    <t>Смена выключателей</t>
  </si>
  <si>
    <t>100м</t>
  </si>
  <si>
    <t>1 врезка</t>
  </si>
  <si>
    <t>10фильтров</t>
  </si>
  <si>
    <t>1 соед.</t>
  </si>
  <si>
    <t>1шт.</t>
  </si>
  <si>
    <t>Прибор,устанавливаемый на фланцевых соединениях,масса, до 5кг</t>
  </si>
  <si>
    <t>Прибор,устанавливаемый на фланцевых соединениях,масса, до 10кг</t>
  </si>
  <si>
    <t>Прибор,устанавливаемый на резьбовых соединениях,масса, до 1,5кг</t>
  </si>
  <si>
    <t>Установка бобышек,штуцеров</t>
  </si>
  <si>
    <t>Шкаф управления</t>
  </si>
  <si>
    <t>шт</t>
  </si>
  <si>
    <t>Приборы,устанавливаемые на металлоконструкциях,щитах и пультах,масса до 5 кг</t>
  </si>
  <si>
    <t>Рукав металлический наружным диаметром до 48мм</t>
  </si>
  <si>
    <t>Затягивание провода в проложенные трубы</t>
  </si>
  <si>
    <t>Кабель проложенный в трубах</t>
  </si>
  <si>
    <t>Присоединение к приборам электрических проводов под винт с оконцеванием наконечников</t>
  </si>
  <si>
    <t>100 концов жил</t>
  </si>
  <si>
    <t>Дополнительная установка колодок</t>
  </si>
  <si>
    <t>Розетка штепсельная полугерметическая и герметическая</t>
  </si>
  <si>
    <t>Узел учета тепловой энергии без диспетчеризации</t>
  </si>
  <si>
    <t>Комплексная наладка</t>
  </si>
  <si>
    <t>1 система</t>
  </si>
  <si>
    <t>100м2 покрытия</t>
  </si>
  <si>
    <t>Очистка канализационной сети внутренней</t>
  </si>
  <si>
    <t>100шт приб.</t>
  </si>
  <si>
    <t>Смена электропроводки</t>
  </si>
  <si>
    <t>Прокладка гофры</t>
  </si>
  <si>
    <t>Ремонт ВРУ  с автоматами</t>
  </si>
  <si>
    <t>Установка фланцевых соединений на стальных трубопроводах диам. 100мм</t>
  </si>
  <si>
    <t>Прокладка трубопроводов отопления из стальных бесшовных труб диам. 100мм</t>
  </si>
  <si>
    <t>Изоляция трубопроводов изделиями из вспенного каучука</t>
  </si>
  <si>
    <t>10м трубопровода</t>
  </si>
  <si>
    <t>Монтаж опорных конструкций для крепления трубопроводов внутри зданий и сооружений массой до 0,1 т</t>
  </si>
  <si>
    <t>1т конструкци</t>
  </si>
  <si>
    <t>Смена трубопроводов из полиэтиленовых канализационных труб диам.до 100мм</t>
  </si>
  <si>
    <t>100м трубопровода с фасонными частями</t>
  </si>
  <si>
    <t>Смена существующих рулонных кровель на покрытия из наплавляемых рулонных матеиалов в один слой</t>
  </si>
  <si>
    <t>имущества МКД, выполненных за 2017  года на жилом доме № 20</t>
  </si>
  <si>
    <t xml:space="preserve">                                        по улице Комсомольская</t>
  </si>
  <si>
    <t>Смена дверных приборов замки навесные</t>
  </si>
  <si>
    <t>Врезка в действующие внутренние сети трубопроводов ХВС диам.40мм</t>
  </si>
  <si>
    <t>Смена задвижек диам.100мм</t>
  </si>
  <si>
    <t>Смена кранов на шаровые краны диам. 15,20,25,32  мм</t>
  </si>
  <si>
    <t>Демонтаж скрытой электропроводки</t>
  </si>
  <si>
    <t>Окраска масляными составами ранее окрашенных поверхностей труб стальных за 1 раз(МАФ)</t>
  </si>
  <si>
    <t>Простая масляная  окраска ранее окрашенных бордюрных камней с подготовкой и расчисткой старой краски до 10%</t>
  </si>
  <si>
    <t>Простая   окраска масляными составами по деревянным конструкциям МАФ</t>
  </si>
  <si>
    <t>Врезка в действующие внутренние сети трубопроводов ГВС диам.32мм</t>
  </si>
  <si>
    <t>Смена розеток</t>
  </si>
  <si>
    <t>Врезка в действующие внутренние сети трубопроводов ГВС,ХВС диам.20мм</t>
  </si>
  <si>
    <t>Смена внутренних трубопроводов ГВС из стальных труб диам. до 40 мм</t>
  </si>
  <si>
    <t>Смена внутренних трубопроводов ХВС,ГВС из стальных труб диам. до 15мм</t>
  </si>
  <si>
    <t>Смена внутренних трубопроводов ХВС,ГВС из стальных труб диам. до 20 мм</t>
  </si>
  <si>
    <t>Смена внутренних трубопроводов ХВС,ГВС из стальных труб диам. до 25мм</t>
  </si>
  <si>
    <t>Ремонт и восстановление герметизации стыков шириной панельного шва 30мм</t>
  </si>
  <si>
    <t>100м восстановл.герметизации</t>
  </si>
  <si>
    <t>Врезка в действующие внутренние сети трубопроводов ХВС,ГВС диам.25мм</t>
  </si>
  <si>
    <t>Врезка в действующие внутренние сети трубопроводов ГВС,ЦО диам.50мм</t>
  </si>
  <si>
    <t>Проверка на прогрев отопительных приборов с регулировкой</t>
  </si>
  <si>
    <t>100приб</t>
  </si>
  <si>
    <t>Смена стекол толщиной 4-6 мм</t>
  </si>
  <si>
    <t>100м2 остекления</t>
  </si>
  <si>
    <t>Прокладка трубопроводов из напорных полипропиленовых труб диам. 20 мм</t>
  </si>
  <si>
    <t>Врезка в действующие внутренние сети трубопроводов ХВС,ГВС ,ЦОдиам.15мм</t>
  </si>
  <si>
    <t>Смена внутренних трубопроводов ХВС,ГВС ,ЦО из стальных труб диам. до 32мм</t>
  </si>
  <si>
    <t>Смена внутренних трубопроводов ХВС,ГВС,ЦО из стальных труб диам. до 50 мм</t>
  </si>
  <si>
    <t>Смена задвижек диам.50мм</t>
  </si>
  <si>
    <t>Установка вентилей,задвижек,кранов диам. 25мм</t>
  </si>
  <si>
    <t>Установка вентилей,задвижек,кранов диам. 50мм</t>
  </si>
  <si>
    <t>Установка вентилей,задвижек,кранов диам. 100мм</t>
  </si>
  <si>
    <t>Установка грязевиков наружным диам.патрубков до 108мм</t>
  </si>
  <si>
    <t>Установка фланцевых соединений на стальных трубопроводах диам. 80мм</t>
  </si>
  <si>
    <t>Установка фланцевых соединений на стальных трубопроводах диам. 50мм</t>
  </si>
  <si>
    <t>Установка фильтров диам. 80мм</t>
  </si>
  <si>
    <t>Прокладка трубопроводов отопления из стальных бесшовных труб диам. 80мм</t>
  </si>
  <si>
    <t>Прокладка трубопроводов отопления из стальных бесшовных труб диам. 50 мм</t>
  </si>
  <si>
    <t>Прокладка трубопроводов отопления из стальных бесшовных труб диам. 40 мм</t>
  </si>
  <si>
    <t>Заделка отверстий в местах прохода трубопроводов в перекрытиях оштукатуренных</t>
  </si>
  <si>
    <t>100отв.</t>
  </si>
  <si>
    <t>Смена внутренних трубопроводов ЦО из стальных труб диам. до 100 мм</t>
  </si>
  <si>
    <t>Механизированная уборка снега на придомовой территории</t>
  </si>
  <si>
    <t>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</si>
</sst>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workbookViewId="0">
      <selection activeCell="A90" sqref="A1:E90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  <col min="7" max="7" width="13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21</v>
      </c>
      <c r="C3" s="3"/>
      <c r="D3" s="3"/>
      <c r="E3" s="3"/>
      <c r="F3" s="1"/>
    </row>
    <row r="4" spans="1:6" ht="15.75" x14ac:dyDescent="0.25">
      <c r="A4" s="4"/>
      <c r="B4" s="3" t="s">
        <v>69</v>
      </c>
      <c r="C4" s="3"/>
      <c r="D4" s="3"/>
      <c r="E4" s="3"/>
      <c r="F4" s="1"/>
    </row>
    <row r="5" spans="1:6" ht="15.75" x14ac:dyDescent="0.25">
      <c r="A5" s="4"/>
      <c r="B5" s="3" t="s">
        <v>70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11</v>
      </c>
      <c r="C9" s="6"/>
      <c r="D9" s="6"/>
      <c r="E9" s="6"/>
      <c r="F9" s="4"/>
    </row>
    <row r="10" spans="1:6" ht="15.75" x14ac:dyDescent="0.25">
      <c r="A10" s="7">
        <v>1</v>
      </c>
      <c r="B10" s="8" t="s">
        <v>9</v>
      </c>
      <c r="C10" s="8" t="s">
        <v>14</v>
      </c>
      <c r="D10" s="7">
        <f>0.17+0.2+0.21+0.25+0.25+0.17+0.27+0.17</f>
        <v>1.69</v>
      </c>
      <c r="E10" s="7">
        <f>2605.14+3064.86+3255.57+3875.69+3875.69+2635.47+4185.74+2635.47</f>
        <v>26133.630000000005</v>
      </c>
      <c r="F10" s="4"/>
    </row>
    <row r="11" spans="1:6" s="1" customFormat="1" ht="31.5" x14ac:dyDescent="0.25">
      <c r="A11" s="7">
        <v>2</v>
      </c>
      <c r="B11" s="8" t="s">
        <v>28</v>
      </c>
      <c r="C11" s="8" t="s">
        <v>14</v>
      </c>
      <c r="D11" s="7">
        <f>0.02+0.01</f>
        <v>0.03</v>
      </c>
      <c r="E11" s="7">
        <f>1263.19+631.6</f>
        <v>1894.79</v>
      </c>
      <c r="F11" s="4"/>
    </row>
    <row r="12" spans="1:6" s="1" customFormat="1" ht="15.75" x14ac:dyDescent="0.25">
      <c r="A12" s="7">
        <v>3</v>
      </c>
      <c r="B12" s="8" t="s">
        <v>59</v>
      </c>
      <c r="C12" s="8" t="s">
        <v>14</v>
      </c>
      <c r="D12" s="7">
        <f>0.01</f>
        <v>0.01</v>
      </c>
      <c r="E12" s="7">
        <f>2860.11</f>
        <v>2860.11</v>
      </c>
      <c r="F12" s="4"/>
    </row>
    <row r="13" spans="1:6" s="1" customFormat="1" ht="15.75" x14ac:dyDescent="0.25">
      <c r="A13" s="7">
        <v>4</v>
      </c>
      <c r="B13" s="8" t="s">
        <v>31</v>
      </c>
      <c r="C13" s="8" t="s">
        <v>14</v>
      </c>
      <c r="D13" s="7">
        <f>0.02+0.02+0.06+0.03</f>
        <v>0.13</v>
      </c>
      <c r="E13" s="7">
        <f>292.33+292.33+877+438.51</f>
        <v>1900.1699999999998</v>
      </c>
      <c r="F13" s="4"/>
    </row>
    <row r="14" spans="1:6" s="1" customFormat="1" ht="15.75" x14ac:dyDescent="0.25">
      <c r="A14" s="7">
        <v>5</v>
      </c>
      <c r="B14" s="8" t="s">
        <v>80</v>
      </c>
      <c r="C14" s="8" t="s">
        <v>14</v>
      </c>
      <c r="D14" s="7">
        <f>0.02</f>
        <v>0.02</v>
      </c>
      <c r="E14" s="7">
        <f>285.44</f>
        <v>285.44</v>
      </c>
      <c r="F14" s="4"/>
    </row>
    <row r="15" spans="1:6" s="1" customFormat="1" ht="47.25" x14ac:dyDescent="0.25">
      <c r="A15" s="7">
        <v>6</v>
      </c>
      <c r="B15" s="8" t="s">
        <v>26</v>
      </c>
      <c r="C15" s="8" t="s">
        <v>27</v>
      </c>
      <c r="D15" s="7">
        <f>0.54</f>
        <v>0.54</v>
      </c>
      <c r="E15" s="7">
        <f>2290.94+2290.94+2357.71+36700.85+2357.71+2357.71+2357.71+2357.71+2357.71</f>
        <v>55428.99</v>
      </c>
      <c r="F15" s="4"/>
    </row>
    <row r="16" spans="1:6" s="1" customFormat="1" ht="31.5" x14ac:dyDescent="0.25">
      <c r="A16" s="7">
        <v>7</v>
      </c>
      <c r="B16" s="8" t="s">
        <v>90</v>
      </c>
      <c r="C16" s="8" t="s">
        <v>91</v>
      </c>
      <c r="D16" s="7">
        <f>1.2+0.3+0.04</f>
        <v>1.54</v>
      </c>
      <c r="E16" s="7">
        <f>7761.63+1940.41+258.72</f>
        <v>9960.76</v>
      </c>
      <c r="F16" s="4"/>
    </row>
    <row r="17" spans="1:6" s="1" customFormat="1" ht="31.5" x14ac:dyDescent="0.25">
      <c r="A17" s="7">
        <v>8</v>
      </c>
      <c r="B17" s="8" t="s">
        <v>16</v>
      </c>
      <c r="C17" s="8" t="s">
        <v>14</v>
      </c>
      <c r="D17" s="7">
        <f>0.02+0.01+0.01+0.02</f>
        <v>0.06</v>
      </c>
      <c r="E17" s="7">
        <f>1289.83+644.93+666.35+1814.3</f>
        <v>4415.41</v>
      </c>
      <c r="F17" s="4"/>
    </row>
    <row r="18" spans="1:6" s="1" customFormat="1" ht="78.75" x14ac:dyDescent="0.25">
      <c r="A18" s="7">
        <v>9</v>
      </c>
      <c r="B18" s="8" t="s">
        <v>22</v>
      </c>
      <c r="C18" s="8" t="s">
        <v>23</v>
      </c>
      <c r="D18" s="7">
        <f>19.786</f>
        <v>19.786000000000001</v>
      </c>
      <c r="E18" s="7">
        <f>36700.85+36700.85+36700.85+36700.85</f>
        <v>146803.4</v>
      </c>
      <c r="F18" s="4"/>
    </row>
    <row r="19" spans="1:6" s="1" customFormat="1" ht="31.5" x14ac:dyDescent="0.25">
      <c r="A19" s="7">
        <v>10</v>
      </c>
      <c r="B19" s="8" t="s">
        <v>24</v>
      </c>
      <c r="C19" s="8" t="s">
        <v>25</v>
      </c>
      <c r="D19" s="7">
        <v>2.52</v>
      </c>
      <c r="E19" s="7">
        <f>68129.39+68129.39+70114.84+70114.84+70114.84+70114.84+70114.84+70114.84</f>
        <v>556947.81999999983</v>
      </c>
      <c r="F19" s="4"/>
    </row>
    <row r="20" spans="1:6" s="1" customFormat="1" ht="47.25" x14ac:dyDescent="0.25">
      <c r="A20" s="7">
        <v>11</v>
      </c>
      <c r="B20" s="8" t="s">
        <v>55</v>
      </c>
      <c r="C20" s="8" t="s">
        <v>13</v>
      </c>
      <c r="D20" s="7">
        <f>1+1+0.5+0.7+1+0.4+1+1.3</f>
        <v>6.9</v>
      </c>
      <c r="E20" s="7">
        <f>14979.16+14979.16+7705.25+10787.32+15410.47+6168.1+15420.23+20046.3</f>
        <v>105495.99</v>
      </c>
      <c r="F20" s="4"/>
    </row>
    <row r="21" spans="1:6" s="1" customFormat="1" ht="47.25" x14ac:dyDescent="0.25">
      <c r="A21" s="7">
        <v>12</v>
      </c>
      <c r="B21" s="8" t="s">
        <v>30</v>
      </c>
      <c r="C21" s="8" t="s">
        <v>13</v>
      </c>
      <c r="D21" s="7">
        <f>0.3+0.2+0.4</f>
        <v>0.9</v>
      </c>
      <c r="E21" s="7">
        <f>14879.85+9919.91+19839.82</f>
        <v>44639.58</v>
      </c>
      <c r="F21" s="4"/>
    </row>
    <row r="22" spans="1:6" s="1" customFormat="1" ht="47.25" x14ac:dyDescent="0.25">
      <c r="A22" s="7">
        <v>13</v>
      </c>
      <c r="B22" s="8" t="s">
        <v>92</v>
      </c>
      <c r="C22" s="8" t="s">
        <v>93</v>
      </c>
      <c r="D22" s="7">
        <f>0.02</f>
        <v>0.02</v>
      </c>
      <c r="E22" s="7">
        <f>1458.31</f>
        <v>1458.31</v>
      </c>
      <c r="F22" s="4"/>
    </row>
    <row r="23" spans="1:6" s="1" customFormat="1" ht="31.5" x14ac:dyDescent="0.25">
      <c r="A23" s="7">
        <v>14</v>
      </c>
      <c r="B23" s="8" t="s">
        <v>71</v>
      </c>
      <c r="C23" s="8" t="s">
        <v>56</v>
      </c>
      <c r="D23" s="7">
        <f>0.03+0.1+0.06+0.04</f>
        <v>0.23</v>
      </c>
      <c r="E23" s="7">
        <f>1139.91+3799.73+2337.1+1558.06</f>
        <v>8834.7999999999993</v>
      </c>
      <c r="F23" s="4"/>
    </row>
    <row r="24" spans="1:6" ht="15.75" x14ac:dyDescent="0.25">
      <c r="A24" s="7"/>
      <c r="B24" s="8"/>
      <c r="C24" s="8"/>
      <c r="D24" s="7"/>
      <c r="E24" s="13">
        <f>SUM(E10:E23)</f>
        <v>967059.19999999984</v>
      </c>
      <c r="F24" s="4"/>
    </row>
    <row r="25" spans="1:6" ht="15.75" x14ac:dyDescent="0.25">
      <c r="A25" s="7"/>
      <c r="B25" s="12" t="s">
        <v>12</v>
      </c>
      <c r="C25" s="8"/>
      <c r="D25" s="7"/>
      <c r="E25" s="7"/>
      <c r="F25" s="4"/>
    </row>
    <row r="26" spans="1:6" s="1" customFormat="1" ht="15.75" x14ac:dyDescent="0.25">
      <c r="A26" s="7">
        <v>1</v>
      </c>
      <c r="B26" s="8" t="s">
        <v>73</v>
      </c>
      <c r="C26" s="8" t="s">
        <v>14</v>
      </c>
      <c r="D26" s="7">
        <f>0.01</f>
        <v>0.01</v>
      </c>
      <c r="E26" s="7">
        <f>21090.44</f>
        <v>21090.44</v>
      </c>
      <c r="F26" s="4"/>
    </row>
    <row r="27" spans="1:6" ht="31.5" x14ac:dyDescent="0.25">
      <c r="A27" s="7">
        <v>2</v>
      </c>
      <c r="B27" s="8" t="s">
        <v>74</v>
      </c>
      <c r="C27" s="8" t="s">
        <v>14</v>
      </c>
      <c r="D27" s="7">
        <f>0.04+0.08+0.01+0.04+0.14+0.08+0.02+0.07+0.07+0.01</f>
        <v>0.56000000000000005</v>
      </c>
      <c r="E27" s="7">
        <f>2738.81+5255.72+954.62+3059.93+7314.7+878.28+567.57+4140.16+292.76+851.36+1150.72+3929.01+466.84+3654.38+290.75+280.12+466.84+522.1</f>
        <v>36814.67</v>
      </c>
      <c r="F27" s="4"/>
    </row>
    <row r="28" spans="1:6" s="1" customFormat="1" ht="47.25" x14ac:dyDescent="0.25">
      <c r="A28" s="7">
        <v>3</v>
      </c>
      <c r="B28" s="8" t="s">
        <v>96</v>
      </c>
      <c r="C28" s="8" t="s">
        <v>29</v>
      </c>
      <c r="D28" s="7">
        <f>0.03+0.04+0.015+0.01+0.13+0.01+0.035+0.14+0.05+0.1</f>
        <v>0.56000000000000005</v>
      </c>
      <c r="E28" s="7">
        <f>3088.28+7892.05+2959.53+13611.11+1047+2009.58+8039.27+2870.83+5712.81</f>
        <v>47230.460000000006</v>
      </c>
      <c r="F28" s="4"/>
    </row>
    <row r="29" spans="1:6" s="1" customFormat="1" ht="47.25" x14ac:dyDescent="0.25">
      <c r="A29" s="7">
        <v>4</v>
      </c>
      <c r="B29" s="8" t="s">
        <v>83</v>
      </c>
      <c r="C29" s="8" t="s">
        <v>29</v>
      </c>
      <c r="D29" s="7">
        <f>0.01</f>
        <v>0.01</v>
      </c>
      <c r="E29" s="7">
        <f>1281.64+1047</f>
        <v>2328.6400000000003</v>
      </c>
      <c r="F29" s="4"/>
    </row>
    <row r="30" spans="1:6" s="1" customFormat="1" ht="47.25" x14ac:dyDescent="0.25">
      <c r="A30" s="7">
        <v>5</v>
      </c>
      <c r="B30" s="8" t="s">
        <v>84</v>
      </c>
      <c r="C30" s="8" t="s">
        <v>29</v>
      </c>
      <c r="D30" s="7">
        <f>0.01+0.01+0.07</f>
        <v>9.0000000000000011E-2</v>
      </c>
      <c r="E30" s="7">
        <f>715.41+861.79+3577.79</f>
        <v>5154.99</v>
      </c>
      <c r="F30" s="4"/>
    </row>
    <row r="31" spans="1:6" s="1" customFormat="1" ht="47.25" x14ac:dyDescent="0.25">
      <c r="A31" s="7">
        <v>6</v>
      </c>
      <c r="B31" s="8" t="s">
        <v>85</v>
      </c>
      <c r="C31" s="8" t="s">
        <v>29</v>
      </c>
      <c r="D31" s="7">
        <f>0.01</f>
        <v>0.01</v>
      </c>
      <c r="E31" s="7">
        <f>845.01</f>
        <v>845.01</v>
      </c>
      <c r="F31" s="4"/>
    </row>
    <row r="32" spans="1:6" s="1" customFormat="1" ht="47.25" x14ac:dyDescent="0.25">
      <c r="A32" s="7">
        <v>7</v>
      </c>
      <c r="B32" s="8" t="s">
        <v>82</v>
      </c>
      <c r="C32" s="8" t="s">
        <v>29</v>
      </c>
      <c r="D32" s="7">
        <f>0.03</f>
        <v>0.03</v>
      </c>
      <c r="E32" s="7">
        <f>3527.09</f>
        <v>3527.09</v>
      </c>
      <c r="F32" s="4"/>
    </row>
    <row r="33" spans="1:6" s="1" customFormat="1" ht="47.25" x14ac:dyDescent="0.25">
      <c r="A33" s="7">
        <v>8</v>
      </c>
      <c r="B33" s="8" t="s">
        <v>97</v>
      </c>
      <c r="C33" s="8" t="s">
        <v>29</v>
      </c>
      <c r="D33" s="7">
        <f>0.05+0.01</f>
        <v>6.0000000000000005E-2</v>
      </c>
      <c r="E33" s="7">
        <f>6788.18+745.9</f>
        <v>7534.08</v>
      </c>
      <c r="F33" s="4"/>
    </row>
    <row r="34" spans="1:6" s="1" customFormat="1" ht="47.25" x14ac:dyDescent="0.25">
      <c r="A34" s="7">
        <v>9</v>
      </c>
      <c r="B34" s="8" t="s">
        <v>111</v>
      </c>
      <c r="C34" s="8" t="s">
        <v>29</v>
      </c>
      <c r="D34" s="7">
        <f>0.015</f>
        <v>1.4999999999999999E-2</v>
      </c>
      <c r="E34" s="7">
        <f>3573.08</f>
        <v>3573.08</v>
      </c>
      <c r="F34" s="4"/>
    </row>
    <row r="35" spans="1:6" s="1" customFormat="1" ht="31.5" x14ac:dyDescent="0.25">
      <c r="A35" s="7">
        <v>10</v>
      </c>
      <c r="B35" s="8" t="s">
        <v>89</v>
      </c>
      <c r="C35" s="8" t="s">
        <v>33</v>
      </c>
      <c r="D35" s="7">
        <f>4+4+1+1</f>
        <v>10</v>
      </c>
      <c r="E35" s="7">
        <f>21836.4+22313.35+5578.35+5809.69</f>
        <v>55537.79</v>
      </c>
      <c r="F35" s="4"/>
    </row>
    <row r="36" spans="1:6" s="1" customFormat="1" ht="31.5" x14ac:dyDescent="0.25">
      <c r="A36" s="7">
        <v>11</v>
      </c>
      <c r="B36" s="8" t="s">
        <v>72</v>
      </c>
      <c r="C36" s="8" t="s">
        <v>33</v>
      </c>
      <c r="D36" s="7">
        <f>13+2+2</f>
        <v>17</v>
      </c>
      <c r="E36" s="7">
        <f>44252.33+6982.87+6982.87</f>
        <v>58218.070000000007</v>
      </c>
      <c r="F36" s="4"/>
    </row>
    <row r="37" spans="1:6" s="1" customFormat="1" ht="31.5" x14ac:dyDescent="0.25">
      <c r="A37" s="7">
        <v>12</v>
      </c>
      <c r="B37" s="8" t="s">
        <v>88</v>
      </c>
      <c r="C37" s="8" t="s">
        <v>33</v>
      </c>
      <c r="D37" s="7">
        <f>2+5+1+1+1+2</f>
        <v>12</v>
      </c>
      <c r="E37" s="7">
        <f>6478.5+16633.29+3326.65+3326.65+3330.07+6660.18</f>
        <v>39755.340000000004</v>
      </c>
      <c r="F37" s="4"/>
    </row>
    <row r="38" spans="1:6" s="1" customFormat="1" ht="31.5" x14ac:dyDescent="0.25">
      <c r="A38" s="7">
        <v>13</v>
      </c>
      <c r="B38" s="8" t="s">
        <v>81</v>
      </c>
      <c r="C38" s="8" t="s">
        <v>33</v>
      </c>
      <c r="D38" s="7">
        <f>2+5+5+10+2+2</f>
        <v>26</v>
      </c>
      <c r="E38" s="7">
        <f>6354.63+16323.61+16323.61+32647.26+6536.77+6536.77</f>
        <v>84722.650000000009</v>
      </c>
      <c r="F38" s="4"/>
    </row>
    <row r="39" spans="1:6" s="1" customFormat="1" ht="31.5" x14ac:dyDescent="0.25">
      <c r="A39" s="7">
        <v>14</v>
      </c>
      <c r="B39" s="8" t="s">
        <v>79</v>
      </c>
      <c r="C39" s="8" t="s">
        <v>33</v>
      </c>
      <c r="D39" s="7">
        <f>4+12+1+1+1</f>
        <v>19</v>
      </c>
      <c r="E39" s="7">
        <f>13265.16+40844.27+3403.68+3403.68+3381.94</f>
        <v>64298.729999999996</v>
      </c>
      <c r="F39" s="4"/>
    </row>
    <row r="40" spans="1:6" s="1" customFormat="1" ht="31.5" x14ac:dyDescent="0.25">
      <c r="A40" s="7">
        <v>15</v>
      </c>
      <c r="B40" s="8" t="s">
        <v>95</v>
      </c>
      <c r="C40" s="8" t="s">
        <v>33</v>
      </c>
      <c r="D40" s="7">
        <f>10+7+6+4+8</f>
        <v>35</v>
      </c>
      <c r="E40" s="7">
        <f>31379.29+21965.49+19351.99+12910.17+25820.34</f>
        <v>111427.28</v>
      </c>
      <c r="F40" s="4"/>
    </row>
    <row r="41" spans="1:6" s="1" customFormat="1" ht="47.25" x14ac:dyDescent="0.25">
      <c r="A41" s="7">
        <v>16</v>
      </c>
      <c r="B41" s="8" t="s">
        <v>94</v>
      </c>
      <c r="C41" s="8" t="s">
        <v>29</v>
      </c>
      <c r="D41" s="7">
        <f>0.04</f>
        <v>0.04</v>
      </c>
      <c r="E41" s="7">
        <f>4057.68</f>
        <v>4057.68</v>
      </c>
      <c r="F41" s="4"/>
    </row>
    <row r="42" spans="1:6" s="1" customFormat="1" ht="94.5" x14ac:dyDescent="0.25">
      <c r="A42" s="7">
        <v>17</v>
      </c>
      <c r="B42" s="8" t="s">
        <v>66</v>
      </c>
      <c r="C42" s="8" t="s">
        <v>67</v>
      </c>
      <c r="D42" s="7">
        <f>0.11+0.05+0.06+0.2</f>
        <v>0.42000000000000004</v>
      </c>
      <c r="E42" s="7">
        <f>6832.2+3154.38+3918.51+1326.06</f>
        <v>15231.15</v>
      </c>
      <c r="F42" s="4"/>
    </row>
    <row r="43" spans="1:6" s="1" customFormat="1" ht="15.75" x14ac:dyDescent="0.25">
      <c r="A43" s="7">
        <v>18</v>
      </c>
      <c r="B43" s="8" t="s">
        <v>98</v>
      </c>
      <c r="C43" s="8" t="s">
        <v>14</v>
      </c>
      <c r="D43" s="7">
        <v>0.03</v>
      </c>
      <c r="E43" s="7">
        <f>20351.21</f>
        <v>20351.21</v>
      </c>
      <c r="F43" s="4"/>
    </row>
    <row r="44" spans="1:6" s="1" customFormat="1" ht="31.5" x14ac:dyDescent="0.25">
      <c r="A44" s="7">
        <v>19</v>
      </c>
      <c r="B44" s="8" t="s">
        <v>99</v>
      </c>
      <c r="C44" s="8" t="s">
        <v>8</v>
      </c>
      <c r="D44" s="7">
        <v>27</v>
      </c>
      <c r="E44" s="7">
        <f>33605.1+2240.96+823.91+109.47+145.38</f>
        <v>36924.82</v>
      </c>
      <c r="F44" s="4"/>
    </row>
    <row r="45" spans="1:6" s="1" customFormat="1" ht="31.5" x14ac:dyDescent="0.25">
      <c r="A45" s="7">
        <v>20</v>
      </c>
      <c r="B45" s="8" t="s">
        <v>100</v>
      </c>
      <c r="C45" s="8" t="s">
        <v>8</v>
      </c>
      <c r="D45" s="7">
        <f>2</f>
        <v>2</v>
      </c>
      <c r="E45" s="7">
        <f>17910.25</f>
        <v>17910.25</v>
      </c>
      <c r="F45" s="4"/>
    </row>
    <row r="46" spans="1:6" s="1" customFormat="1" ht="31.5" x14ac:dyDescent="0.25">
      <c r="A46" s="7">
        <v>21</v>
      </c>
      <c r="B46" s="8" t="s">
        <v>101</v>
      </c>
      <c r="C46" s="8" t="s">
        <v>8</v>
      </c>
      <c r="D46" s="7">
        <f>6</f>
        <v>6</v>
      </c>
      <c r="E46" s="7">
        <f>38057.25+74551.92</f>
        <v>112609.17</v>
      </c>
      <c r="F46" s="4"/>
    </row>
    <row r="47" spans="1:6" s="1" customFormat="1" ht="31.5" x14ac:dyDescent="0.25">
      <c r="A47" s="7">
        <v>22</v>
      </c>
      <c r="B47" s="8" t="s">
        <v>102</v>
      </c>
      <c r="C47" s="8" t="s">
        <v>8</v>
      </c>
      <c r="D47" s="7">
        <f>2</f>
        <v>2</v>
      </c>
      <c r="E47" s="7">
        <f>21481.86</f>
        <v>21481.86</v>
      </c>
      <c r="F47" s="4"/>
    </row>
    <row r="48" spans="1:6" s="1" customFormat="1" ht="31.5" x14ac:dyDescent="0.25">
      <c r="A48" s="7">
        <v>23</v>
      </c>
      <c r="B48" s="8" t="s">
        <v>105</v>
      </c>
      <c r="C48" s="8" t="s">
        <v>34</v>
      </c>
      <c r="D48" s="7">
        <v>0.2</v>
      </c>
      <c r="E48" s="7">
        <f>8299.02</f>
        <v>8299.02</v>
      </c>
      <c r="F48" s="4"/>
    </row>
    <row r="49" spans="1:6" s="1" customFormat="1" ht="31.5" x14ac:dyDescent="0.25">
      <c r="A49" s="7">
        <v>24</v>
      </c>
      <c r="B49" s="8" t="s">
        <v>60</v>
      </c>
      <c r="C49" s="8" t="s">
        <v>35</v>
      </c>
      <c r="D49" s="7">
        <f>8</f>
        <v>8</v>
      </c>
      <c r="E49" s="7">
        <f>15173.02</f>
        <v>15173.02</v>
      </c>
      <c r="F49" s="4"/>
    </row>
    <row r="50" spans="1:6" s="1" customFormat="1" ht="31.5" x14ac:dyDescent="0.25">
      <c r="A50" s="7">
        <v>25</v>
      </c>
      <c r="B50" s="8" t="s">
        <v>103</v>
      </c>
      <c r="C50" s="8" t="s">
        <v>35</v>
      </c>
      <c r="D50" s="7">
        <f>4</f>
        <v>4</v>
      </c>
      <c r="E50" s="7">
        <f>6564.79</f>
        <v>6564.79</v>
      </c>
      <c r="F50" s="4"/>
    </row>
    <row r="51" spans="1:6" s="1" customFormat="1" ht="31.5" x14ac:dyDescent="0.25">
      <c r="A51" s="7">
        <v>26</v>
      </c>
      <c r="B51" s="8" t="s">
        <v>104</v>
      </c>
      <c r="C51" s="8" t="s">
        <v>35</v>
      </c>
      <c r="D51" s="7">
        <v>2</v>
      </c>
      <c r="E51" s="7">
        <f>2169.18</f>
        <v>2169.1799999999998</v>
      </c>
      <c r="F51" s="4"/>
    </row>
    <row r="52" spans="1:6" s="1" customFormat="1" ht="47.25" x14ac:dyDescent="0.25">
      <c r="A52" s="7">
        <v>27</v>
      </c>
      <c r="B52" s="8" t="s">
        <v>106</v>
      </c>
      <c r="C52" s="8" t="s">
        <v>13</v>
      </c>
      <c r="D52" s="7">
        <f>0.688</f>
        <v>0.68799999999999994</v>
      </c>
      <c r="E52" s="7">
        <f>95301.76+4841.6+1718</f>
        <v>101861.36</v>
      </c>
      <c r="F52" s="4"/>
    </row>
    <row r="53" spans="1:6" s="1" customFormat="1" ht="47.25" x14ac:dyDescent="0.25">
      <c r="A53" s="7">
        <v>28</v>
      </c>
      <c r="B53" s="8" t="s">
        <v>61</v>
      </c>
      <c r="C53" s="8" t="s">
        <v>13</v>
      </c>
      <c r="D53" s="7">
        <f>0.04</f>
        <v>0.04</v>
      </c>
      <c r="E53" s="7">
        <f>5158.71+1841.56+1658</f>
        <v>8658.27</v>
      </c>
      <c r="F53" s="4"/>
    </row>
    <row r="54" spans="1:6" s="1" customFormat="1" ht="47.25" x14ac:dyDescent="0.25">
      <c r="A54" s="7">
        <v>29</v>
      </c>
      <c r="B54" s="8" t="s">
        <v>107</v>
      </c>
      <c r="C54" s="8" t="s">
        <v>13</v>
      </c>
      <c r="D54" s="7">
        <f>0.052</f>
        <v>5.1999999999999998E-2</v>
      </c>
      <c r="E54" s="7">
        <f>6256.41</f>
        <v>6256.41</v>
      </c>
      <c r="F54" s="4"/>
    </row>
    <row r="55" spans="1:6" s="1" customFormat="1" ht="47.25" x14ac:dyDescent="0.25">
      <c r="A55" s="7">
        <v>30</v>
      </c>
      <c r="B55" s="8" t="s">
        <v>108</v>
      </c>
      <c r="C55" s="8" t="s">
        <v>13</v>
      </c>
      <c r="D55" s="7">
        <f>0.11</f>
        <v>0.11</v>
      </c>
      <c r="E55" s="7">
        <f>7746.72</f>
        <v>7746.72</v>
      </c>
      <c r="F55" s="4"/>
    </row>
    <row r="56" spans="1:6" s="1" customFormat="1" ht="47.25" x14ac:dyDescent="0.25">
      <c r="A56" s="7">
        <v>31</v>
      </c>
      <c r="B56" s="8" t="s">
        <v>62</v>
      </c>
      <c r="C56" s="8" t="s">
        <v>63</v>
      </c>
      <c r="D56" s="7">
        <v>6.3</v>
      </c>
      <c r="E56" s="7">
        <f>116818.05</f>
        <v>116818.05</v>
      </c>
      <c r="F56" s="4"/>
    </row>
    <row r="57" spans="1:6" s="1" customFormat="1" ht="47.25" x14ac:dyDescent="0.25">
      <c r="A57" s="7">
        <v>32</v>
      </c>
      <c r="B57" s="8" t="s">
        <v>64</v>
      </c>
      <c r="C57" s="8" t="s">
        <v>65</v>
      </c>
      <c r="D57" s="7">
        <f>0.075</f>
        <v>7.4999999999999997E-2</v>
      </c>
      <c r="E57" s="7">
        <f>6664.17</f>
        <v>6664.17</v>
      </c>
      <c r="F57" s="4"/>
    </row>
    <row r="58" spans="1:6" s="1" customFormat="1" ht="31.5" x14ac:dyDescent="0.25">
      <c r="A58" s="7">
        <v>33</v>
      </c>
      <c r="B58" s="8" t="s">
        <v>37</v>
      </c>
      <c r="C58" s="8" t="s">
        <v>36</v>
      </c>
      <c r="D58" s="7">
        <f>2+4</f>
        <v>6</v>
      </c>
      <c r="E58" s="7">
        <f>3176.33+27059.76+6352.66+8295.4</f>
        <v>44884.15</v>
      </c>
      <c r="F58" s="4"/>
    </row>
    <row r="59" spans="1:6" s="1" customFormat="1" ht="31.5" x14ac:dyDescent="0.25">
      <c r="A59" s="7">
        <v>34</v>
      </c>
      <c r="B59" s="8" t="s">
        <v>38</v>
      </c>
      <c r="C59" s="8" t="s">
        <v>36</v>
      </c>
      <c r="D59" s="7">
        <f>4</f>
        <v>4</v>
      </c>
      <c r="E59" s="7">
        <f>8490.4+25672.08</f>
        <v>34162.480000000003</v>
      </c>
      <c r="F59" s="4"/>
    </row>
    <row r="60" spans="1:6" s="1" customFormat="1" ht="31.5" x14ac:dyDescent="0.25">
      <c r="A60" s="7">
        <v>35</v>
      </c>
      <c r="B60" s="8" t="s">
        <v>39</v>
      </c>
      <c r="C60" s="8" t="s">
        <v>36</v>
      </c>
      <c r="D60" s="7">
        <f>4+2</f>
        <v>6</v>
      </c>
      <c r="E60" s="7">
        <f>2131.66+14764.16+1065.84+6513.6</f>
        <v>24475.260000000002</v>
      </c>
      <c r="F60" s="4"/>
    </row>
    <row r="61" spans="1:6" s="1" customFormat="1" ht="15.75" x14ac:dyDescent="0.25">
      <c r="A61" s="7">
        <v>36</v>
      </c>
      <c r="B61" s="8" t="s">
        <v>40</v>
      </c>
      <c r="C61" s="8" t="s">
        <v>14</v>
      </c>
      <c r="D61" s="7">
        <f>0.12</f>
        <v>0.12</v>
      </c>
      <c r="E61" s="7">
        <f>9492.04+445.12+19025.7</f>
        <v>28962.86</v>
      </c>
      <c r="F61" s="4"/>
    </row>
    <row r="62" spans="1:6" s="1" customFormat="1" ht="15.75" x14ac:dyDescent="0.25">
      <c r="A62" s="7">
        <v>37</v>
      </c>
      <c r="B62" s="8" t="s">
        <v>41</v>
      </c>
      <c r="C62" s="8" t="s">
        <v>42</v>
      </c>
      <c r="D62" s="7">
        <f>2</f>
        <v>2</v>
      </c>
      <c r="E62" s="7">
        <f>3424.76+2379.61</f>
        <v>5804.3700000000008</v>
      </c>
      <c r="F62" s="4"/>
    </row>
    <row r="63" spans="1:6" s="1" customFormat="1" ht="47.25" x14ac:dyDescent="0.25">
      <c r="A63" s="7">
        <v>38</v>
      </c>
      <c r="B63" s="8" t="s">
        <v>43</v>
      </c>
      <c r="C63" s="8" t="s">
        <v>36</v>
      </c>
      <c r="D63" s="7">
        <f>2</f>
        <v>2</v>
      </c>
      <c r="E63" s="7">
        <f>540.47+2884.74</f>
        <v>3425.21</v>
      </c>
      <c r="F63" s="4"/>
    </row>
    <row r="64" spans="1:6" s="1" customFormat="1" ht="31.5" x14ac:dyDescent="0.25">
      <c r="A64" s="7">
        <v>39</v>
      </c>
      <c r="B64" s="8" t="s">
        <v>44</v>
      </c>
      <c r="C64" s="8" t="s">
        <v>32</v>
      </c>
      <c r="D64" s="7">
        <f>0.4</f>
        <v>0.4</v>
      </c>
      <c r="E64" s="7">
        <f>7676.7+707.26</f>
        <v>8383.9599999999991</v>
      </c>
      <c r="F64" s="4"/>
    </row>
    <row r="65" spans="1:6" s="1" customFormat="1" ht="15.75" x14ac:dyDescent="0.25">
      <c r="A65" s="7">
        <v>40</v>
      </c>
      <c r="B65" s="8" t="s">
        <v>45</v>
      </c>
      <c r="C65" s="8" t="s">
        <v>32</v>
      </c>
      <c r="D65" s="7">
        <f>0.5</f>
        <v>0.5</v>
      </c>
      <c r="E65" s="7">
        <f>1207.62+323.13+47.39</f>
        <v>1578.14</v>
      </c>
      <c r="F65" s="4"/>
    </row>
    <row r="66" spans="1:6" s="1" customFormat="1" ht="15.75" x14ac:dyDescent="0.25">
      <c r="A66" s="7">
        <v>41</v>
      </c>
      <c r="B66" s="8" t="s">
        <v>46</v>
      </c>
      <c r="C66" s="8" t="s">
        <v>32</v>
      </c>
      <c r="D66" s="7">
        <v>1</v>
      </c>
      <c r="E66" s="7">
        <f>6123.83+2212.12</f>
        <v>8335.9500000000007</v>
      </c>
      <c r="F66" s="4"/>
    </row>
    <row r="67" spans="1:6" s="1" customFormat="1" ht="47.25" x14ac:dyDescent="0.25">
      <c r="A67" s="7">
        <v>42</v>
      </c>
      <c r="B67" s="8" t="s">
        <v>47</v>
      </c>
      <c r="C67" s="8" t="s">
        <v>48</v>
      </c>
      <c r="D67" s="7">
        <f>0.24</f>
        <v>0.24</v>
      </c>
      <c r="E67" s="7">
        <f>1452.63</f>
        <v>1452.63</v>
      </c>
      <c r="F67" s="4"/>
    </row>
    <row r="68" spans="1:6" s="1" customFormat="1" ht="15.75" x14ac:dyDescent="0.25">
      <c r="A68" s="7">
        <v>43</v>
      </c>
      <c r="B68" s="8" t="s">
        <v>49</v>
      </c>
      <c r="C68" s="8" t="s">
        <v>8</v>
      </c>
      <c r="D68" s="7">
        <f>2</f>
        <v>2</v>
      </c>
      <c r="E68" s="7">
        <f>999.65+550.7</f>
        <v>1550.35</v>
      </c>
      <c r="F68" s="4"/>
    </row>
    <row r="69" spans="1:6" s="1" customFormat="1" ht="31.5" x14ac:dyDescent="0.25">
      <c r="A69" s="7">
        <v>44</v>
      </c>
      <c r="B69" s="8" t="s">
        <v>50</v>
      </c>
      <c r="C69" s="8" t="s">
        <v>14</v>
      </c>
      <c r="D69" s="7">
        <f>0.02</f>
        <v>0.02</v>
      </c>
      <c r="E69" s="7">
        <f>697.04+33.06</f>
        <v>730.09999999999991</v>
      </c>
      <c r="F69" s="4"/>
    </row>
    <row r="70" spans="1:6" s="1" customFormat="1" ht="31.5" x14ac:dyDescent="0.25">
      <c r="A70" s="7">
        <v>45</v>
      </c>
      <c r="B70" s="8" t="s">
        <v>51</v>
      </c>
      <c r="C70" s="8" t="s">
        <v>20</v>
      </c>
      <c r="D70" s="7">
        <f>2</f>
        <v>2</v>
      </c>
      <c r="E70" s="7">
        <f>321157.74</f>
        <v>321157.74</v>
      </c>
      <c r="F70" s="4"/>
    </row>
    <row r="71" spans="1:6" s="18" customFormat="1" ht="15.75" x14ac:dyDescent="0.25">
      <c r="A71" s="7">
        <v>46</v>
      </c>
      <c r="B71" s="16" t="s">
        <v>52</v>
      </c>
      <c r="C71" s="16" t="s">
        <v>53</v>
      </c>
      <c r="D71" s="15">
        <f>2</f>
        <v>2</v>
      </c>
      <c r="E71" s="15">
        <f>30600.77</f>
        <v>30600.77</v>
      </c>
      <c r="F71" s="17"/>
    </row>
    <row r="72" spans="1:6" s="18" customFormat="1" ht="47.25" x14ac:dyDescent="0.25">
      <c r="A72" s="7">
        <v>47</v>
      </c>
      <c r="B72" s="16" t="s">
        <v>109</v>
      </c>
      <c r="C72" s="16" t="s">
        <v>110</v>
      </c>
      <c r="D72" s="15">
        <f>0.01</f>
        <v>0.01</v>
      </c>
      <c r="E72" s="15">
        <f>272.14</f>
        <v>272.14</v>
      </c>
      <c r="F72" s="17"/>
    </row>
    <row r="73" spans="1:6" s="18" customFormat="1" ht="78.75" x14ac:dyDescent="0.25">
      <c r="A73" s="7">
        <v>48</v>
      </c>
      <c r="B73" s="16" t="s">
        <v>76</v>
      </c>
      <c r="C73" s="8" t="s">
        <v>15</v>
      </c>
      <c r="D73" s="15">
        <f>1</f>
        <v>1</v>
      </c>
      <c r="E73" s="15">
        <f>25751.14</f>
        <v>25751.14</v>
      </c>
      <c r="F73" s="17"/>
    </row>
    <row r="74" spans="1:6" s="18" customFormat="1" ht="78.75" x14ac:dyDescent="0.25">
      <c r="A74" s="7">
        <v>49</v>
      </c>
      <c r="B74" s="8" t="s">
        <v>77</v>
      </c>
      <c r="C74" s="8" t="s">
        <v>15</v>
      </c>
      <c r="D74" s="15">
        <v>1</v>
      </c>
      <c r="E74" s="15">
        <f>7093.65</f>
        <v>7093.65</v>
      </c>
      <c r="F74" s="17"/>
    </row>
    <row r="75" spans="1:6" s="18" customFormat="1" ht="78.75" x14ac:dyDescent="0.25">
      <c r="A75" s="7">
        <v>50</v>
      </c>
      <c r="B75" s="8" t="s">
        <v>78</v>
      </c>
      <c r="C75" s="8" t="s">
        <v>15</v>
      </c>
      <c r="D75" s="15">
        <v>0.25</v>
      </c>
      <c r="E75" s="15">
        <f>3638.34</f>
        <v>3638.34</v>
      </c>
      <c r="F75" s="17"/>
    </row>
    <row r="76" spans="1:6" s="1" customFormat="1" ht="47.25" x14ac:dyDescent="0.25">
      <c r="A76" s="7">
        <v>51</v>
      </c>
      <c r="B76" s="8" t="s">
        <v>68</v>
      </c>
      <c r="C76" s="8" t="s">
        <v>54</v>
      </c>
      <c r="D76" s="7">
        <f>0.04+0.1</f>
        <v>0.14000000000000001</v>
      </c>
      <c r="E76" s="7">
        <f>1787.53+4468.82</f>
        <v>6256.3499999999995</v>
      </c>
      <c r="F76" s="4"/>
    </row>
    <row r="77" spans="1:6" s="1" customFormat="1" ht="63" x14ac:dyDescent="0.25">
      <c r="A77" s="7">
        <v>52</v>
      </c>
      <c r="B77" s="8" t="s">
        <v>86</v>
      </c>
      <c r="C77" s="8" t="s">
        <v>87</v>
      </c>
      <c r="D77" s="7">
        <f>0.62+1.096+0.564</f>
        <v>2.2800000000000002</v>
      </c>
      <c r="E77" s="7">
        <f>31778.15+56286.68+28965.05</f>
        <v>117029.88</v>
      </c>
      <c r="F77" s="4"/>
    </row>
    <row r="78" spans="1:6" s="1" customFormat="1" ht="15.75" x14ac:dyDescent="0.25">
      <c r="A78" s="7">
        <v>53</v>
      </c>
      <c r="B78" s="8" t="s">
        <v>75</v>
      </c>
      <c r="C78" s="8" t="s">
        <v>32</v>
      </c>
      <c r="D78" s="7">
        <f>1.5</f>
        <v>1.5</v>
      </c>
      <c r="E78" s="7">
        <f>1534.56</f>
        <v>1534.56</v>
      </c>
      <c r="F78" s="4"/>
    </row>
    <row r="79" spans="1:6" s="1" customFormat="1" ht="15.75" x14ac:dyDescent="0.25">
      <c r="A79" s="7">
        <v>54</v>
      </c>
      <c r="B79" s="8" t="s">
        <v>57</v>
      </c>
      <c r="C79" s="8" t="s">
        <v>32</v>
      </c>
      <c r="D79" s="7">
        <f>1.5+1+0.65+0.3+0.9</f>
        <v>4.3499999999999996</v>
      </c>
      <c r="E79" s="7">
        <f>12906.33+1950.03+8849.29+1300.02+5752.04+845.01+2654.78+484.76+7964.35+1454.27</f>
        <v>44160.88</v>
      </c>
      <c r="F79" s="4"/>
    </row>
    <row r="80" spans="1:6" s="1" customFormat="1" ht="15.75" x14ac:dyDescent="0.25">
      <c r="A80" s="7">
        <v>55</v>
      </c>
      <c r="B80" s="8" t="s">
        <v>58</v>
      </c>
      <c r="C80" s="8" t="s">
        <v>32</v>
      </c>
      <c r="D80" s="7">
        <f>1+0.9+0.4</f>
        <v>2.2999999999999998</v>
      </c>
      <c r="E80" s="7">
        <f>8329.17+1238.69+7496.26+1171.12+3331.67+519.5</f>
        <v>22086.410000000003</v>
      </c>
      <c r="F80" s="4"/>
    </row>
    <row r="81" spans="1:7" s="1" customFormat="1" ht="31.5" x14ac:dyDescent="0.25">
      <c r="A81" s="7">
        <v>56</v>
      </c>
      <c r="B81" s="8" t="s">
        <v>28</v>
      </c>
      <c r="C81" s="8" t="s">
        <v>14</v>
      </c>
      <c r="D81" s="7">
        <f>0.26+0.19+0.18+0.09+0.14</f>
        <v>0.86</v>
      </c>
      <c r="E81" s="7">
        <f>25870.19+19150.38+16740.96+8370.49+13020.75</f>
        <v>83152.77</v>
      </c>
      <c r="F81" s="4"/>
    </row>
    <row r="82" spans="1:7" s="1" customFormat="1" ht="31.5" x14ac:dyDescent="0.25">
      <c r="A82" s="7">
        <v>57</v>
      </c>
      <c r="B82" s="8" t="s">
        <v>112</v>
      </c>
      <c r="C82" s="8" t="s">
        <v>113</v>
      </c>
      <c r="D82" s="7">
        <v>135</v>
      </c>
      <c r="E82" s="7">
        <f>1968.3</f>
        <v>1968.3</v>
      </c>
      <c r="F82" s="4"/>
    </row>
    <row r="83" spans="1:7" s="1" customFormat="1" ht="15.75" x14ac:dyDescent="0.25">
      <c r="A83" s="7"/>
      <c r="B83" s="8"/>
      <c r="C83" s="8"/>
      <c r="D83" s="7"/>
      <c r="E83" s="13">
        <f>SUM(E26:E82)</f>
        <v>1879283.8399999999</v>
      </c>
      <c r="F83" s="4"/>
    </row>
    <row r="84" spans="1:7" ht="15.75" x14ac:dyDescent="0.25">
      <c r="A84" s="7"/>
      <c r="B84" s="8" t="s">
        <v>10</v>
      </c>
      <c r="C84" s="7"/>
      <c r="D84" s="7"/>
      <c r="E84" s="9">
        <f>E24+E83</f>
        <v>2846343.0399999996</v>
      </c>
      <c r="F84" s="4"/>
    </row>
    <row r="85" spans="1:7" ht="15.75" x14ac:dyDescent="0.25">
      <c r="A85" s="7"/>
      <c r="B85" s="8"/>
      <c r="C85" s="7"/>
      <c r="D85" s="7"/>
      <c r="E85" s="7"/>
      <c r="F85" s="4"/>
    </row>
    <row r="86" spans="1:7" ht="15.75" x14ac:dyDescent="0.25">
      <c r="A86" s="10"/>
      <c r="B86" s="10"/>
      <c r="C86" s="10"/>
      <c r="D86" s="10"/>
      <c r="E86" s="10"/>
      <c r="F86" s="4"/>
    </row>
    <row r="87" spans="1:7" ht="15.75" x14ac:dyDescent="0.25">
      <c r="A87" s="10"/>
      <c r="B87" s="10" t="s">
        <v>17</v>
      </c>
      <c r="C87" s="10" t="s">
        <v>18</v>
      </c>
      <c r="D87" s="10"/>
      <c r="E87" s="10"/>
      <c r="F87" s="1"/>
    </row>
    <row r="88" spans="1:7" x14ac:dyDescent="0.25">
      <c r="A88" s="2"/>
      <c r="B88" s="2"/>
      <c r="C88" s="2"/>
      <c r="D88" s="2"/>
      <c r="E88" s="2"/>
      <c r="F88" s="1"/>
    </row>
    <row r="89" spans="1:7" x14ac:dyDescent="0.25">
      <c r="A89" s="2"/>
      <c r="B89" s="2"/>
      <c r="C89" s="2"/>
      <c r="D89" s="2"/>
      <c r="E89" s="2"/>
      <c r="F89" s="1"/>
    </row>
    <row r="90" spans="1:7" x14ac:dyDescent="0.25">
      <c r="A90" s="2"/>
      <c r="B90" s="2" t="s">
        <v>19</v>
      </c>
      <c r="C90" s="2"/>
      <c r="D90" s="2"/>
      <c r="E90" s="2"/>
      <c r="F90" s="1"/>
      <c r="G90" s="14"/>
    </row>
    <row r="91" spans="1:7" x14ac:dyDescent="0.25">
      <c r="A91" s="2"/>
      <c r="B91" s="2"/>
      <c r="C91" s="2"/>
      <c r="D91" s="2"/>
      <c r="E91" s="2"/>
      <c r="F91" s="14"/>
      <c r="G91" s="14"/>
    </row>
    <row r="92" spans="1:7" x14ac:dyDescent="0.25">
      <c r="A92" s="2"/>
      <c r="B92" s="2"/>
      <c r="C92" s="2"/>
      <c r="D92" s="2"/>
      <c r="E92" s="2"/>
    </row>
    <row r="93" spans="1:7" x14ac:dyDescent="0.25">
      <c r="A93" s="2"/>
      <c r="B93" s="2"/>
      <c r="C93" s="2"/>
      <c r="D93" s="2"/>
      <c r="E93" s="2"/>
      <c r="F93" s="14"/>
    </row>
    <row r="94" spans="1:7" x14ac:dyDescent="0.25">
      <c r="A94" s="2"/>
      <c r="B94" s="2"/>
      <c r="C94" s="2"/>
      <c r="D94" s="2"/>
      <c r="E94" s="2"/>
    </row>
    <row r="95" spans="1:7" x14ac:dyDescent="0.25">
      <c r="A95" s="2"/>
      <c r="B95" s="2"/>
      <c r="C95" s="2"/>
      <c r="D95" s="2"/>
      <c r="E95" s="2"/>
    </row>
    <row r="96" spans="1:7" x14ac:dyDescent="0.25">
      <c r="A96" s="2"/>
      <c r="B96" s="2"/>
      <c r="C96" s="2"/>
      <c r="D96" s="2"/>
      <c r="E96" s="2"/>
    </row>
    <row r="97" spans="1:5" x14ac:dyDescent="0.25">
      <c r="A97" s="2"/>
      <c r="B97" s="2"/>
      <c r="C97" s="2"/>
      <c r="D97" s="2"/>
      <c r="E97" s="2"/>
    </row>
    <row r="98" spans="1:5" x14ac:dyDescent="0.25">
      <c r="A98" s="2"/>
      <c r="B98" s="2"/>
      <c r="C98" s="2"/>
      <c r="D98" s="2"/>
      <c r="E98" s="2"/>
    </row>
    <row r="99" spans="1:5" x14ac:dyDescent="0.25">
      <c r="A99" s="2"/>
      <c r="B99" s="2"/>
      <c r="C99" s="2"/>
      <c r="D99" s="2"/>
      <c r="E99" s="2"/>
    </row>
    <row r="100" spans="1:5" x14ac:dyDescent="0.25">
      <c r="A100" s="2"/>
      <c r="B100" s="2"/>
      <c r="C100" s="2"/>
      <c r="D100" s="2"/>
      <c r="E100" s="2"/>
    </row>
    <row r="101" spans="1:5" x14ac:dyDescent="0.25">
      <c r="A101" s="2"/>
      <c r="B101" s="2"/>
      <c r="C101" s="2"/>
      <c r="D101" s="2"/>
      <c r="E101" s="2"/>
    </row>
    <row r="102" spans="1:5" x14ac:dyDescent="0.25">
      <c r="A102" s="2"/>
      <c r="B102" s="2"/>
      <c r="C102" s="2"/>
      <c r="D102" s="2"/>
      <c r="E102" s="2"/>
    </row>
    <row r="103" spans="1:5" x14ac:dyDescent="0.25">
      <c r="A103" s="2"/>
      <c r="B103" s="2"/>
      <c r="C103" s="2"/>
      <c r="D103" s="2"/>
      <c r="E103" s="2"/>
    </row>
    <row r="104" spans="1:5" x14ac:dyDescent="0.25">
      <c r="A104" s="2"/>
      <c r="B104" s="2"/>
      <c r="C104" s="2"/>
      <c r="D104" s="2"/>
      <c r="E104" s="2"/>
    </row>
    <row r="105" spans="1:5" x14ac:dyDescent="0.25">
      <c r="A105" s="2"/>
      <c r="B105" s="2"/>
      <c r="C105" s="2"/>
      <c r="D105" s="2"/>
      <c r="E105" s="2"/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2018-02-02T05:02:06Z</cp:lastPrinted>
  <dcterms:created xsi:type="dcterms:W3CDTF">2016-09-29T06:37:31Z</dcterms:created>
  <dcterms:modified xsi:type="dcterms:W3CDTF">2018-02-21T09:08:19Z</dcterms:modified>
</cp:coreProperties>
</file>