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5" i="1" l="1"/>
  <c r="E77" i="1"/>
  <c r="E42" i="1"/>
  <c r="D42" i="1"/>
  <c r="E27" i="1"/>
  <c r="D27" i="1"/>
  <c r="E26" i="1"/>
  <c r="D26" i="1"/>
  <c r="E16" i="1"/>
  <c r="E10" i="1"/>
  <c r="D10" i="1"/>
  <c r="E15" i="1"/>
  <c r="D15" i="1"/>
  <c r="E22" i="1"/>
  <c r="D22" i="1"/>
  <c r="E23" i="1"/>
  <c r="E69" i="1"/>
  <c r="D69" i="1"/>
  <c r="E68" i="1"/>
  <c r="D68" i="1"/>
  <c r="E67" i="1"/>
  <c r="D67" i="1"/>
  <c r="E30" i="1"/>
  <c r="D30" i="1"/>
  <c r="E29" i="1"/>
  <c r="D29" i="1"/>
  <c r="E38" i="1"/>
  <c r="D38" i="1"/>
  <c r="E35" i="1"/>
  <c r="D35" i="1"/>
  <c r="E34" i="1"/>
  <c r="D34" i="1"/>
  <c r="E28" i="1"/>
  <c r="D28" i="1"/>
  <c r="E24" i="1"/>
  <c r="E25" i="1"/>
  <c r="D25" i="1"/>
  <c r="E76" i="1"/>
  <c r="D76" i="1"/>
  <c r="E73" i="1"/>
  <c r="D73" i="1"/>
  <c r="E50" i="1"/>
  <c r="D50" i="1"/>
  <c r="E70" i="1"/>
  <c r="D70" i="1"/>
  <c r="E43" i="1"/>
  <c r="D43" i="1"/>
  <c r="E14" i="1"/>
  <c r="D14" i="1"/>
  <c r="E66" i="1"/>
  <c r="D66" i="1"/>
  <c r="E65" i="1"/>
  <c r="D65" i="1"/>
  <c r="E59" i="1"/>
  <c r="D59" i="1"/>
  <c r="E63" i="1"/>
  <c r="D63" i="1"/>
  <c r="E62" i="1"/>
  <c r="D62" i="1"/>
  <c r="E60" i="1"/>
  <c r="D60" i="1"/>
  <c r="E58" i="1"/>
  <c r="E57" i="1"/>
  <c r="D57" i="1"/>
  <c r="E56" i="1"/>
  <c r="D56" i="1"/>
  <c r="E55" i="1"/>
  <c r="D55" i="1"/>
  <c r="E54" i="1"/>
  <c r="D54" i="1"/>
  <c r="E53" i="1"/>
  <c r="D53" i="1"/>
  <c r="E52" i="1"/>
  <c r="D52" i="1"/>
  <c r="E45" i="1"/>
  <c r="D45" i="1"/>
  <c r="E48" i="1"/>
  <c r="D48" i="1"/>
  <c r="E47" i="1"/>
  <c r="D47" i="1"/>
  <c r="E37" i="1"/>
  <c r="D37" i="1"/>
  <c r="E41" i="1"/>
  <c r="D41" i="1"/>
  <c r="E31" i="1"/>
  <c r="D31" i="1"/>
  <c r="E21" i="1"/>
  <c r="D21" i="1"/>
  <c r="E19" i="1"/>
  <c r="D19" i="1"/>
  <c r="E18" i="1"/>
  <c r="D18" i="1"/>
  <c r="D75" i="1"/>
  <c r="E13" i="1"/>
  <c r="D13" i="1"/>
  <c r="E71" i="1"/>
  <c r="D71" i="1"/>
  <c r="E44" i="1"/>
  <c r="D44" i="1"/>
  <c r="E64" i="1"/>
  <c r="D64" i="1"/>
  <c r="D61" i="1"/>
  <c r="E51" i="1"/>
  <c r="D51" i="1"/>
  <c r="E39" i="1"/>
  <c r="D39" i="1"/>
  <c r="E36" i="1"/>
  <c r="D36" i="1"/>
  <c r="E49" i="1"/>
  <c r="D49" i="1"/>
  <c r="E72" i="1"/>
  <c r="D72" i="1"/>
  <c r="E12" i="1"/>
  <c r="D12" i="1"/>
  <c r="E40" i="1"/>
  <c r="D40" i="1"/>
  <c r="D24" i="1"/>
  <c r="D16" i="1"/>
  <c r="E20" i="1"/>
  <c r="D20" i="1"/>
  <c r="D78" i="1"/>
  <c r="E74" i="1"/>
  <c r="D74" i="1"/>
  <c r="E46" i="1"/>
  <c r="D46" i="1"/>
  <c r="E11" i="1"/>
  <c r="D11" i="1"/>
  <c r="E17" i="1"/>
  <c r="D17" i="1"/>
  <c r="E79" i="1" l="1"/>
  <c r="E32" i="1"/>
  <c r="E80" i="1" l="1"/>
</calcChain>
</file>

<file path=xl/sharedStrings.xml><?xml version="1.0" encoding="utf-8"?>
<sst xmlns="http://schemas.openxmlformats.org/spreadsheetml/2006/main" count="151" uniqueCount="114">
  <si>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</si>
  <si>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</si>
  <si>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</si>
  <si>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</si>
  <si>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</si>
  <si>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</si>
  <si>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</si>
  <si>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</si>
  <si>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</si>
  <si>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</si>
  <si>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</si>
  <si>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</si>
  <si>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</si>
  <si>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</si>
  <si>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</si>
  <si>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</si>
  <si>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</si>
  <si>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</si>
  <si>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1 врезка</t>
  </si>
  <si>
    <t>шт</t>
  </si>
  <si>
    <t>100м2 покрытия</t>
  </si>
  <si>
    <t>Покрытие поверхностей грунтовкой глубокого проникновения за 1 раз потолков</t>
  </si>
  <si>
    <t>Очистка канализационной сети внутренней</t>
  </si>
  <si>
    <t>100 м трубопровода</t>
  </si>
  <si>
    <t>Услуги трактора, экскаватора-погрузчика,погрузка и вывоз снега со складированием</t>
  </si>
  <si>
    <t>м3</t>
  </si>
  <si>
    <t>100 сгонов</t>
  </si>
  <si>
    <t>Окраска масляными составами ранее окрашенных металлических решеток и оград без рельефа за 2 раза</t>
  </si>
  <si>
    <t>100м</t>
  </si>
  <si>
    <t>Смена сгонов у трубопроводов диам.32мм</t>
  </si>
  <si>
    <t>Осмотр линий электрических сетей,арматуры и электрооборудования на л/клетках</t>
  </si>
  <si>
    <t>100 лестничных клеток</t>
  </si>
  <si>
    <t>Гидравлическое испытание трубопроводов систем отопления диам.до 50мм</t>
  </si>
  <si>
    <t>100м трубопровода</t>
  </si>
  <si>
    <t>10 фильтров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</si>
  <si>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</si>
  <si>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</si>
  <si>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</si>
  <si>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</si>
  <si>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Очистка канализационной сети дворовой</t>
  </si>
  <si>
    <t>Смена дверных приборов замки навесные</t>
  </si>
  <si>
    <t>Смена провода</t>
  </si>
  <si>
    <t>100шт приб.</t>
  </si>
  <si>
    <t>Установка манометров с трехходовым краном</t>
  </si>
  <si>
    <t>1 компл.</t>
  </si>
  <si>
    <t>Проверка на прогрев отопительных приборов с регулировкой</t>
  </si>
  <si>
    <t>100 приб.</t>
  </si>
  <si>
    <t>Смена кранов  ГВС,ХВС,ЦО на шаровые краны диам. 15,25,32мм</t>
  </si>
  <si>
    <t>Слив и наполнение водой системы отопления без осмотра системы</t>
  </si>
  <si>
    <t>1000м3 объема здания</t>
  </si>
  <si>
    <t>100м3 воды</t>
  </si>
  <si>
    <t>Смена отдельных участков трубопроводов с заготовкой труб в построечных условиях диам. 20мм</t>
  </si>
  <si>
    <t>Врезка в действующие внутренние сети трубопроводов ГВС,ЦО,ХВС диам.25мм</t>
  </si>
  <si>
    <t>Изоляция трубопроводов изделиями из вспененного каучука насухо трубками</t>
  </si>
  <si>
    <t>10м трубопровода</t>
  </si>
  <si>
    <t>Водоотлив из подвала электрическими насосами</t>
  </si>
  <si>
    <t>Врезка в действующие внутренние сети трубопроводов ГВС,ЦО,ХВС диам.20мм</t>
  </si>
  <si>
    <t>Ремонт силового предохранительного шкафа</t>
  </si>
  <si>
    <t>Смена сгонов у трубопроводов диам.20мм</t>
  </si>
  <si>
    <t>Очистка внутренней поверхности:теплообменного аппарата площадью нагрева 12м2</t>
  </si>
  <si>
    <t>1шт.</t>
  </si>
  <si>
    <t>Гидравлическое испытание аппарата с внутренней трубчаткой, вместимостью 0,2м3</t>
  </si>
  <si>
    <t>Врезка в действующие внутренние сети трубопроводов ХВС диам.32мм</t>
  </si>
  <si>
    <t>Покрытие поверхностей грунтовкой глубокого проникновения за 1 раз стен</t>
  </si>
  <si>
    <t>Смена трубопроводов из полиэтиленовых канализационных труб диам.до 100мм</t>
  </si>
  <si>
    <t>100м трубопровода с фасонными частями</t>
  </si>
  <si>
    <t>Смена дверных приборов пружины</t>
  </si>
  <si>
    <t>Механизированная уборка снега на придомовой территории</t>
  </si>
  <si>
    <t>мин</t>
  </si>
  <si>
    <t xml:space="preserve">                                       по улице Талсинская</t>
  </si>
  <si>
    <t>Врезка в действующие внутренние сети трубопроводов ЦО  диам.15мм</t>
  </si>
  <si>
    <t>Улучшенная масляная окраска ранее окрашенных потолков  за один раз  с расчисткой старой краски до 10% с земли и лесов</t>
  </si>
  <si>
    <t>Установка хомутов диаметром трубопроводов до 100мм</t>
  </si>
  <si>
    <t>100 заглушек</t>
  </si>
  <si>
    <t>Смена светильников со светодиодными  лампами</t>
  </si>
  <si>
    <t>Смена внутренних трубопроводов из стальных труб диам.до 25мм</t>
  </si>
  <si>
    <t>Покрытие поверхностей грунтовкой глубокого проникновения за 2 раза стен</t>
  </si>
  <si>
    <t>Третья шпаклевка при высококачественной окраске по штукатурке стен</t>
  </si>
  <si>
    <t>Третья шпаклевка при высококачественной окраске по штукатурке потолков</t>
  </si>
  <si>
    <t>Окрашивание водоэмульсионными составами поверхностей стен, ранее окрашенных водоэмульсионной краской с расчисткой старой краски</t>
  </si>
  <si>
    <t>Улучшенная масляная окраска ранее окрашенных дверей за 2 раза с расчисткой старой краски более 35% с земли и лесов</t>
  </si>
  <si>
    <t>Улучшенная масляная окраска ранее окрашенных стен за 2 раза с расчисткой старой краски более 35%(сапожок)</t>
  </si>
  <si>
    <t>Окраска масляными составами ранее окрашенных металлических поверхностей электрические щитки за 2 раза</t>
  </si>
  <si>
    <t>Окраска масляными составами торцов лестничных маршей</t>
  </si>
  <si>
    <t>Окраска масляными составами металлических поверхностей домофонных дверей за 2 раза</t>
  </si>
  <si>
    <t>Гидравлическое испытание трубопроводов систем отопления диам.до 100мм</t>
  </si>
  <si>
    <t>Гидрофобизация поверхности фасадов гладких с лесов</t>
  </si>
  <si>
    <t>100м2 поверхности</t>
  </si>
  <si>
    <t xml:space="preserve">Смена существующих рулонных кровель на покрытия из наплавляемых рулонных материалов в 1 слой </t>
  </si>
  <si>
    <t>имущества МКД, выполненных за 2017  года на жилом доме № 25</t>
  </si>
  <si>
    <t xml:space="preserve">Смена ламп люминесцентных </t>
  </si>
  <si>
    <t>Смена отдельных участков трубопроводов с заготовкой труб в построечных условиях диам. 50мм</t>
  </si>
  <si>
    <t>Смена светильников с люминесцентными лампами</t>
  </si>
  <si>
    <t>Смена стекол толщиной 4-6 мм</t>
  </si>
  <si>
    <t>100м2 остекления</t>
  </si>
  <si>
    <t>Смена рассеивателей</t>
  </si>
  <si>
    <t>Окрашивание водоэмульсионными составами поверхностей потолков, ранее окрашенных водоэмульсионной краской с расчисткой старой краски более 35%</t>
  </si>
  <si>
    <t>Улучшенная масляная окраска ранее окрашенных окон за 2 раза с расчисткой старой краски более 35% с земли и лесов</t>
  </si>
  <si>
    <t>Окраска масляными составами ранее окрашенных поверхностей труб стальных за 2 раза</t>
  </si>
  <si>
    <t>Прочистка фильтров ГВС диам.100мм</t>
  </si>
  <si>
    <t>Смена задвижек диам. 100мм на шаровые краны</t>
  </si>
  <si>
    <t xml:space="preserve">Окраска металлических деталей мусоропровода </t>
  </si>
  <si>
    <t>1 мусоропровод</t>
  </si>
  <si>
    <t>Ремонт групповых щитков на лестничной клетке со сменой автоматов</t>
  </si>
  <si>
    <t>Выполнение работ по ремонту отмостки и пандуса</t>
  </si>
  <si>
    <t>м2</t>
  </si>
  <si>
    <t>Заделка дверей фанерой</t>
  </si>
  <si>
    <t>10м2</t>
  </si>
  <si>
    <t>Демонтаж оконных коробок в каменных стенах с отбивкой штукатурки в откосах</t>
  </si>
  <si>
    <t>100 кор</t>
  </si>
  <si>
    <t>Снятие оконных переплетов остекленных</t>
  </si>
  <si>
    <t>100м2 оконных переплетов</t>
  </si>
  <si>
    <t>Установка в жилых зданиях блоков оконных переплетов</t>
  </si>
  <si>
    <t>100м2 проемов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</si>
</sst>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topLeftCell="A43" workbookViewId="0">
      <selection activeCell="A86" sqref="A1:E8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89</v>
      </c>
      <c r="C4" s="3"/>
      <c r="D4" s="3"/>
      <c r="E4" s="3"/>
      <c r="F4" s="1"/>
    </row>
    <row r="5" spans="1:6" ht="15.75" x14ac:dyDescent="0.25">
      <c r="A5" s="4"/>
      <c r="B5" s="3" t="s">
        <v>69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12</v>
      </c>
      <c r="D10" s="7">
        <f>0.17+0.51+0.18+1.3+0.15+0.26+0.04+0.14+0.06+0.08+0.01</f>
        <v>2.9000000000000004</v>
      </c>
      <c r="E10" s="7">
        <f>2577.83+7733.49+2758.38+19921.61+2298.65+4030.71+620.1+2170.39+930.15+1240.22+155.03</f>
        <v>44436.56</v>
      </c>
      <c r="F10" s="4"/>
    </row>
    <row r="11" spans="1:6" s="1" customFormat="1" ht="15.75" x14ac:dyDescent="0.25">
      <c r="A11" s="6">
        <v>2</v>
      </c>
      <c r="B11" s="8" t="s">
        <v>90</v>
      </c>
      <c r="C11" s="8" t="s">
        <v>12</v>
      </c>
      <c r="D11" s="7">
        <f>0.17</f>
        <v>0.17</v>
      </c>
      <c r="E11" s="7">
        <f>1336.65</f>
        <v>1336.65</v>
      </c>
      <c r="F11" s="4"/>
    </row>
    <row r="12" spans="1:6" s="1" customFormat="1" ht="15.75" x14ac:dyDescent="0.25">
      <c r="A12" s="6">
        <v>3</v>
      </c>
      <c r="B12" s="8" t="s">
        <v>95</v>
      </c>
      <c r="C12" s="8" t="s">
        <v>19</v>
      </c>
      <c r="D12" s="7">
        <f>8</f>
        <v>8</v>
      </c>
      <c r="E12" s="7">
        <f>875.69</f>
        <v>875.69</v>
      </c>
      <c r="F12" s="4"/>
    </row>
    <row r="13" spans="1:6" s="1" customFormat="1" ht="15.75" x14ac:dyDescent="0.25">
      <c r="A13" s="6">
        <v>4</v>
      </c>
      <c r="B13" s="8" t="s">
        <v>57</v>
      </c>
      <c r="C13" s="8" t="s">
        <v>12</v>
      </c>
      <c r="D13" s="7">
        <f>0.01</f>
        <v>0.01</v>
      </c>
      <c r="E13" s="7">
        <f>5251.05</f>
        <v>5251.05</v>
      </c>
      <c r="F13" s="4"/>
    </row>
    <row r="14" spans="1:6" s="1" customFormat="1" ht="31.5" x14ac:dyDescent="0.25">
      <c r="A14" s="6">
        <v>5</v>
      </c>
      <c r="B14" s="8" t="s">
        <v>103</v>
      </c>
      <c r="C14" s="8" t="s">
        <v>12</v>
      </c>
      <c r="D14" s="7">
        <f>0.01</f>
        <v>0.01</v>
      </c>
      <c r="E14" s="7">
        <f>2470+2555.19</f>
        <v>5025.1900000000005</v>
      </c>
      <c r="F14" s="4"/>
    </row>
    <row r="15" spans="1:6" s="1" customFormat="1" ht="31.5" x14ac:dyDescent="0.25">
      <c r="A15" s="7">
        <v>6</v>
      </c>
      <c r="B15" s="8" t="s">
        <v>74</v>
      </c>
      <c r="C15" s="8" t="s">
        <v>12</v>
      </c>
      <c r="D15" s="7">
        <f>0.01+0.01+0.01</f>
        <v>0.03</v>
      </c>
      <c r="E15" s="7">
        <f>1388.09+1388.09+968.15</f>
        <v>3744.33</v>
      </c>
      <c r="F15" s="4"/>
    </row>
    <row r="16" spans="1:6" s="1" customFormat="1" ht="47.25" x14ac:dyDescent="0.25">
      <c r="A16" s="6">
        <v>7</v>
      </c>
      <c r="B16" s="8" t="s">
        <v>30</v>
      </c>
      <c r="C16" s="8" t="s">
        <v>31</v>
      </c>
      <c r="D16" s="7">
        <f>0.72</f>
        <v>0.72</v>
      </c>
      <c r="E16" s="7">
        <f>2974.48+2974.48+2974.48+2974.48+3054.6+3143.62+3143.62+3143.62+3143.62+3143.62+3143.62</f>
        <v>33814.239999999998</v>
      </c>
      <c r="F16" s="4"/>
    </row>
    <row r="17" spans="1:6" s="1" customFormat="1" ht="47.25" x14ac:dyDescent="0.25">
      <c r="A17" s="6">
        <v>8</v>
      </c>
      <c r="B17" s="8" t="s">
        <v>48</v>
      </c>
      <c r="C17" s="8" t="s">
        <v>49</v>
      </c>
      <c r="D17" s="7">
        <f>0.002</f>
        <v>2E-3</v>
      </c>
      <c r="E17" s="7">
        <f>0.29</f>
        <v>0.28999999999999998</v>
      </c>
      <c r="F17" s="4"/>
    </row>
    <row r="18" spans="1:6" s="1" customFormat="1" ht="47.25" x14ac:dyDescent="0.25">
      <c r="A18" s="6">
        <v>9</v>
      </c>
      <c r="B18" s="8" t="s">
        <v>32</v>
      </c>
      <c r="C18" s="8" t="s">
        <v>33</v>
      </c>
      <c r="D18" s="7">
        <f>59.62</f>
        <v>59.62</v>
      </c>
      <c r="E18" s="7">
        <f>258558.03</f>
        <v>258558.03</v>
      </c>
      <c r="F18" s="4"/>
    </row>
    <row r="19" spans="1:6" s="1" customFormat="1" ht="47.25" x14ac:dyDescent="0.25">
      <c r="A19" s="6">
        <v>10</v>
      </c>
      <c r="B19" s="8" t="s">
        <v>85</v>
      </c>
      <c r="C19" s="8" t="s">
        <v>33</v>
      </c>
      <c r="D19" s="7">
        <f>4.2</f>
        <v>4.2</v>
      </c>
      <c r="E19" s="7">
        <f>18409.29</f>
        <v>18409.29</v>
      </c>
      <c r="F19" s="4"/>
    </row>
    <row r="20" spans="1:6" s="1" customFormat="1" ht="31.5" x14ac:dyDescent="0.25">
      <c r="A20" s="7">
        <v>11</v>
      </c>
      <c r="B20" s="8" t="s">
        <v>45</v>
      </c>
      <c r="C20" s="8" t="s">
        <v>46</v>
      </c>
      <c r="D20" s="7">
        <f>0.03</f>
        <v>0.03</v>
      </c>
      <c r="E20" s="7">
        <f>183.59</f>
        <v>183.59</v>
      </c>
      <c r="F20" s="4"/>
    </row>
    <row r="21" spans="1:6" s="1" customFormat="1" ht="31.5" x14ac:dyDescent="0.25">
      <c r="A21" s="6">
        <v>12</v>
      </c>
      <c r="B21" s="8" t="s">
        <v>99</v>
      </c>
      <c r="C21" s="8" t="s">
        <v>34</v>
      </c>
      <c r="D21" s="7">
        <f>0.6</f>
        <v>0.6</v>
      </c>
      <c r="E21" s="7">
        <f>7861.06</f>
        <v>7861.06</v>
      </c>
      <c r="F21" s="4"/>
    </row>
    <row r="22" spans="1:6" s="1" customFormat="1" ht="31.5" x14ac:dyDescent="0.25">
      <c r="A22" s="6">
        <v>13</v>
      </c>
      <c r="B22" s="8" t="s">
        <v>72</v>
      </c>
      <c r="C22" s="8" t="s">
        <v>73</v>
      </c>
      <c r="D22" s="7">
        <f>0.09+0.03+0.01+0.06+0.08+0.01</f>
        <v>0.28000000000000003</v>
      </c>
      <c r="E22" s="7">
        <f>5686.11+1895.36+644.93+3869.5+5330.78+666.35</f>
        <v>18093.03</v>
      </c>
      <c r="F22" s="4"/>
    </row>
    <row r="23" spans="1:6" s="1" customFormat="1" ht="78.75" x14ac:dyDescent="0.25">
      <c r="A23" s="6">
        <v>14</v>
      </c>
      <c r="B23" s="8" t="s">
        <v>35</v>
      </c>
      <c r="C23" s="8" t="s">
        <v>36</v>
      </c>
      <c r="D23" s="7">
        <v>5.17</v>
      </c>
      <c r="E23" s="7">
        <f>9073.82+9073.82+9073.82+9073.82+9318.23+9589.79+9589.79+9589.79+9589.79+9589.79+9589.79</f>
        <v>103152.25000000003</v>
      </c>
      <c r="F23" s="4"/>
    </row>
    <row r="24" spans="1:6" s="1" customFormat="1" ht="31.5" x14ac:dyDescent="0.25">
      <c r="A24" s="6">
        <v>15</v>
      </c>
      <c r="B24" s="8" t="s">
        <v>37</v>
      </c>
      <c r="C24" s="8" t="s">
        <v>38</v>
      </c>
      <c r="D24" s="7">
        <f>3.2</f>
        <v>3.2</v>
      </c>
      <c r="E24" s="7">
        <f>84244.43+84244.43+84244.43+84244.43+86513.5+89034.72+89034.72+89034.72+89034.72</f>
        <v>779630.09999999986</v>
      </c>
      <c r="F24" s="4"/>
    </row>
    <row r="25" spans="1:6" s="1" customFormat="1" ht="47.25" x14ac:dyDescent="0.25">
      <c r="A25" s="7">
        <v>16</v>
      </c>
      <c r="B25" s="8" t="s">
        <v>39</v>
      </c>
      <c r="C25" s="8" t="s">
        <v>33</v>
      </c>
      <c r="D25" s="7">
        <f>0.04+0.08</f>
        <v>0.12</v>
      </c>
      <c r="E25" s="7">
        <f>1875.78+3967.97</f>
        <v>5843.75</v>
      </c>
      <c r="F25" s="4"/>
    </row>
    <row r="26" spans="1:6" s="1" customFormat="1" ht="47.25" x14ac:dyDescent="0.25">
      <c r="A26" s="6">
        <v>17</v>
      </c>
      <c r="B26" s="8" t="s">
        <v>22</v>
      </c>
      <c r="C26" s="8" t="s">
        <v>23</v>
      </c>
      <c r="D26" s="7">
        <f>0.4+0.13+0.08+0.2+0.5+0.1</f>
        <v>1.4100000000000001</v>
      </c>
      <c r="E26" s="7">
        <f>6685.27+2172.71+1369.04+3422.6+8808.11+1761.63</f>
        <v>24219.360000000004</v>
      </c>
      <c r="F26" s="4"/>
    </row>
    <row r="27" spans="1:6" s="1" customFormat="1" ht="31.5" x14ac:dyDescent="0.25">
      <c r="A27" s="6">
        <v>18</v>
      </c>
      <c r="B27" s="8" t="s">
        <v>55</v>
      </c>
      <c r="C27" s="8" t="s">
        <v>50</v>
      </c>
      <c r="D27" s="7">
        <f>0.01+0.1+0.3+0.5+0.3+0.08+0.3+0.05</f>
        <v>1.6400000000000001</v>
      </c>
      <c r="E27" s="7">
        <f>30.32+311+933+1555.03+959.49+255.88+959.49+159.92</f>
        <v>5164.13</v>
      </c>
      <c r="F27" s="4"/>
    </row>
    <row r="28" spans="1:6" s="1" customFormat="1" ht="31.5" x14ac:dyDescent="0.25">
      <c r="A28" s="6">
        <v>19</v>
      </c>
      <c r="B28" s="8" t="s">
        <v>66</v>
      </c>
      <c r="C28" s="8" t="s">
        <v>42</v>
      </c>
      <c r="D28" s="7">
        <f>0.02+0.04+0.15</f>
        <v>0.21</v>
      </c>
      <c r="E28" s="7">
        <f>542.5+1085.02+4263.19</f>
        <v>5890.7099999999991</v>
      </c>
      <c r="F28" s="4"/>
    </row>
    <row r="29" spans="1:6" s="1" customFormat="1" ht="47.25" x14ac:dyDescent="0.25">
      <c r="A29" s="6">
        <v>20</v>
      </c>
      <c r="B29" s="8" t="s">
        <v>93</v>
      </c>
      <c r="C29" s="8" t="s">
        <v>94</v>
      </c>
      <c r="D29" s="7">
        <f>0.03</f>
        <v>0.03</v>
      </c>
      <c r="E29" s="7">
        <f>2674.01</f>
        <v>2674.01</v>
      </c>
      <c r="F29" s="4"/>
    </row>
    <row r="30" spans="1:6" s="1" customFormat="1" ht="15.75" x14ac:dyDescent="0.25">
      <c r="A30" s="7">
        <v>21</v>
      </c>
      <c r="B30" s="8" t="s">
        <v>106</v>
      </c>
      <c r="C30" s="8" t="s">
        <v>107</v>
      </c>
      <c r="D30" s="7">
        <f>0.2</f>
        <v>0.2</v>
      </c>
      <c r="E30" s="7">
        <f>721.85</f>
        <v>721.85</v>
      </c>
      <c r="F30" s="4"/>
    </row>
    <row r="31" spans="1:6" s="1" customFormat="1" ht="31.5" x14ac:dyDescent="0.25">
      <c r="A31" s="6">
        <v>22</v>
      </c>
      <c r="B31" s="8" t="s">
        <v>40</v>
      </c>
      <c r="C31" s="8" t="s">
        <v>42</v>
      </c>
      <c r="D31" s="7">
        <f>0.01+0.01+0.02</f>
        <v>0.04</v>
      </c>
      <c r="E31" s="7">
        <f>371.67+379.97+779.03</f>
        <v>1530.67</v>
      </c>
      <c r="F31" s="4"/>
    </row>
    <row r="32" spans="1:6" ht="15.75" x14ac:dyDescent="0.25">
      <c r="A32" s="7"/>
      <c r="B32" s="8"/>
      <c r="C32" s="8"/>
      <c r="D32" s="7"/>
      <c r="E32" s="13">
        <f>SUM(E10:E31)</f>
        <v>1326415.8299999998</v>
      </c>
      <c r="F32" s="4"/>
    </row>
    <row r="33" spans="1:6" ht="15.75" x14ac:dyDescent="0.25">
      <c r="A33" s="7"/>
      <c r="B33" s="12" t="s">
        <v>11</v>
      </c>
      <c r="C33" s="8"/>
      <c r="D33" s="7"/>
      <c r="E33" s="7"/>
      <c r="F33" s="4"/>
    </row>
    <row r="34" spans="1:6" ht="31.5" x14ac:dyDescent="0.25">
      <c r="A34" s="7">
        <v>1</v>
      </c>
      <c r="B34" s="8" t="s">
        <v>47</v>
      </c>
      <c r="C34" s="8" t="s">
        <v>12</v>
      </c>
      <c r="D34" s="7">
        <f>0.02+0.01+0.04+0.04+0.1+0.07+0.05</f>
        <v>0.33</v>
      </c>
      <c r="E34" s="7">
        <f>1357.82+732.69+2052.98+2248.61+5753.54+4027.47+2871.84</f>
        <v>19044.949999999997</v>
      </c>
      <c r="F34" s="4"/>
    </row>
    <row r="35" spans="1:6" s="1" customFormat="1" ht="31.5" x14ac:dyDescent="0.25">
      <c r="A35" s="7">
        <v>2</v>
      </c>
      <c r="B35" s="8" t="s">
        <v>58</v>
      </c>
      <c r="C35" s="8" t="s">
        <v>26</v>
      </c>
      <c r="D35" s="7">
        <f>0.02+0.04+0.02+0.05</f>
        <v>0.13</v>
      </c>
      <c r="E35" s="7">
        <f>414.24+1040.9+416.37+1061.28</f>
        <v>2932.79</v>
      </c>
      <c r="F35" s="4"/>
    </row>
    <row r="36" spans="1:6" s="1" customFormat="1" ht="31.5" x14ac:dyDescent="0.25">
      <c r="A36" s="7">
        <v>3</v>
      </c>
      <c r="B36" s="8" t="s">
        <v>29</v>
      </c>
      <c r="C36" s="8" t="s">
        <v>26</v>
      </c>
      <c r="D36" s="7">
        <f>0.05+0.01</f>
        <v>6.0000000000000005E-2</v>
      </c>
      <c r="E36" s="7">
        <f>1899.21+348.03</f>
        <v>2247.2399999999998</v>
      </c>
      <c r="F36" s="4"/>
    </row>
    <row r="37" spans="1:6" s="1" customFormat="1" ht="31.5" x14ac:dyDescent="0.25">
      <c r="A37" s="7">
        <v>4</v>
      </c>
      <c r="B37" s="8" t="s">
        <v>43</v>
      </c>
      <c r="C37" s="8" t="s">
        <v>44</v>
      </c>
      <c r="D37" s="7">
        <f>10</f>
        <v>10</v>
      </c>
      <c r="E37" s="7">
        <f>7587.47</f>
        <v>7587.47</v>
      </c>
      <c r="F37" s="4"/>
    </row>
    <row r="38" spans="1:6" s="1" customFormat="1" ht="31.5" x14ac:dyDescent="0.25">
      <c r="A38" s="7">
        <v>5</v>
      </c>
      <c r="B38" s="8" t="s">
        <v>70</v>
      </c>
      <c r="C38" s="8" t="s">
        <v>18</v>
      </c>
      <c r="D38" s="7">
        <f>1+1+5</f>
        <v>7</v>
      </c>
      <c r="E38" s="7">
        <f>3059.98+3059.98+16137.7</f>
        <v>22257.66</v>
      </c>
      <c r="F38" s="4"/>
    </row>
    <row r="39" spans="1:6" s="1" customFormat="1" ht="31.5" x14ac:dyDescent="0.25">
      <c r="A39" s="7">
        <v>6</v>
      </c>
      <c r="B39" s="8" t="s">
        <v>56</v>
      </c>
      <c r="C39" s="8" t="s">
        <v>18</v>
      </c>
      <c r="D39" s="7">
        <f>4</f>
        <v>4</v>
      </c>
      <c r="E39" s="7">
        <f>12709.3</f>
        <v>12709.3</v>
      </c>
      <c r="F39" s="4"/>
    </row>
    <row r="40" spans="1:6" s="1" customFormat="1" ht="31.5" x14ac:dyDescent="0.25">
      <c r="A40" s="7">
        <v>7</v>
      </c>
      <c r="B40" s="8" t="s">
        <v>52</v>
      </c>
      <c r="C40" s="8" t="s">
        <v>18</v>
      </c>
      <c r="D40" s="7">
        <f>1</f>
        <v>1</v>
      </c>
      <c r="E40" s="7">
        <f>3164.86</f>
        <v>3164.86</v>
      </c>
      <c r="F40" s="4"/>
    </row>
    <row r="41" spans="1:6" s="1" customFormat="1" ht="31.5" x14ac:dyDescent="0.25">
      <c r="A41" s="7">
        <v>8</v>
      </c>
      <c r="B41" s="8" t="s">
        <v>62</v>
      </c>
      <c r="C41" s="8" t="s">
        <v>18</v>
      </c>
      <c r="D41" s="7">
        <f>1+6+10</f>
        <v>17</v>
      </c>
      <c r="E41" s="7">
        <f>3244.37+19897.71+34036.9</f>
        <v>57178.979999999996</v>
      </c>
      <c r="F41" s="4"/>
    </row>
    <row r="42" spans="1:6" s="1" customFormat="1" ht="47.25" x14ac:dyDescent="0.25">
      <c r="A42" s="7">
        <v>9</v>
      </c>
      <c r="B42" s="8" t="s">
        <v>51</v>
      </c>
      <c r="C42" s="8" t="s">
        <v>33</v>
      </c>
      <c r="D42" s="7">
        <f>0.02+0.01+0.01</f>
        <v>0.04</v>
      </c>
      <c r="E42" s="7">
        <f>1101.7+550.86+511.57</f>
        <v>2164.13</v>
      </c>
      <c r="F42" s="4"/>
    </row>
    <row r="43" spans="1:6" s="1" customFormat="1" ht="47.25" x14ac:dyDescent="0.25">
      <c r="A43" s="7">
        <v>10</v>
      </c>
      <c r="B43" s="8" t="s">
        <v>91</v>
      </c>
      <c r="C43" s="8" t="s">
        <v>33</v>
      </c>
      <c r="D43" s="7">
        <f>0.02+0.04+0.04</f>
        <v>0.1</v>
      </c>
      <c r="E43" s="7">
        <f>1579.19+2839.87+5513.53</f>
        <v>9932.59</v>
      </c>
      <c r="F43" s="4"/>
    </row>
    <row r="44" spans="1:6" s="1" customFormat="1" ht="47.25" x14ac:dyDescent="0.25">
      <c r="A44" s="7">
        <v>11</v>
      </c>
      <c r="B44" s="8" t="s">
        <v>75</v>
      </c>
      <c r="C44" s="8" t="s">
        <v>33</v>
      </c>
      <c r="D44" s="7">
        <f>0.04</f>
        <v>0.04</v>
      </c>
      <c r="E44" s="7">
        <f>3380.07</f>
        <v>3380.07</v>
      </c>
      <c r="F44" s="4"/>
    </row>
    <row r="45" spans="1:6" s="1" customFormat="1" ht="31.5" x14ac:dyDescent="0.25">
      <c r="A45" s="7">
        <v>12</v>
      </c>
      <c r="B45" s="8" t="s">
        <v>100</v>
      </c>
      <c r="C45" s="8" t="s">
        <v>12</v>
      </c>
      <c r="D45" s="7">
        <f>0.06</f>
        <v>0.06</v>
      </c>
      <c r="E45" s="7">
        <f>62835.35</f>
        <v>62835.35</v>
      </c>
      <c r="F45" s="4"/>
    </row>
    <row r="46" spans="1:6" s="1" customFormat="1" ht="94.5" x14ac:dyDescent="0.25">
      <c r="A46" s="7">
        <v>13</v>
      </c>
      <c r="B46" s="8" t="s">
        <v>64</v>
      </c>
      <c r="C46" s="8" t="s">
        <v>65</v>
      </c>
      <c r="D46" s="7">
        <f>0.02</f>
        <v>0.02</v>
      </c>
      <c r="E46" s="7">
        <f>1252</f>
        <v>1252</v>
      </c>
      <c r="F46" s="4"/>
    </row>
    <row r="47" spans="1:6" s="1" customFormat="1" ht="47.25" x14ac:dyDescent="0.25">
      <c r="A47" s="7">
        <v>14</v>
      </c>
      <c r="B47" s="8" t="s">
        <v>59</v>
      </c>
      <c r="C47" s="8" t="s">
        <v>60</v>
      </c>
      <c r="D47" s="7">
        <f>4</f>
        <v>4</v>
      </c>
      <c r="E47" s="7">
        <f>34849.14</f>
        <v>34849.14</v>
      </c>
      <c r="F47" s="4"/>
    </row>
    <row r="48" spans="1:6" s="1" customFormat="1" ht="31.5" x14ac:dyDescent="0.25">
      <c r="A48" s="7">
        <v>15</v>
      </c>
      <c r="B48" s="8" t="s">
        <v>61</v>
      </c>
      <c r="C48" s="8" t="s">
        <v>60</v>
      </c>
      <c r="D48" s="7">
        <f>4</f>
        <v>4</v>
      </c>
      <c r="E48" s="7">
        <f>23391.96</f>
        <v>23391.96</v>
      </c>
      <c r="F48" s="4"/>
    </row>
    <row r="49" spans="1:6" s="1" customFormat="1" ht="78.75" x14ac:dyDescent="0.25">
      <c r="A49" s="7">
        <v>16</v>
      </c>
      <c r="B49" s="8" t="s">
        <v>71</v>
      </c>
      <c r="C49" s="8" t="s">
        <v>13</v>
      </c>
      <c r="D49" s="7">
        <f>0.01</f>
        <v>0.01</v>
      </c>
      <c r="E49" s="7">
        <f>157.92</f>
        <v>157.91999999999999</v>
      </c>
      <c r="F49" s="4"/>
    </row>
    <row r="50" spans="1:6" s="1" customFormat="1" ht="47.25" x14ac:dyDescent="0.25">
      <c r="A50" s="7">
        <v>17</v>
      </c>
      <c r="B50" s="8" t="s">
        <v>86</v>
      </c>
      <c r="C50" s="8" t="s">
        <v>87</v>
      </c>
      <c r="D50" s="7">
        <f>0.15</f>
        <v>0.15</v>
      </c>
      <c r="E50" s="7">
        <f>1473.57</f>
        <v>1473.57</v>
      </c>
      <c r="F50" s="4"/>
    </row>
    <row r="51" spans="1:6" s="1" customFormat="1" ht="31.5" x14ac:dyDescent="0.25">
      <c r="A51" s="7">
        <v>18</v>
      </c>
      <c r="B51" s="8" t="s">
        <v>63</v>
      </c>
      <c r="C51" s="8" t="s">
        <v>20</v>
      </c>
      <c r="D51" s="7">
        <f>30.77</f>
        <v>30.77</v>
      </c>
      <c r="E51" s="7">
        <f>140329.61</f>
        <v>140329.60999999999</v>
      </c>
      <c r="F51" s="4"/>
    </row>
    <row r="52" spans="1:6" s="1" customFormat="1" ht="31.5" x14ac:dyDescent="0.25">
      <c r="A52" s="7">
        <v>19</v>
      </c>
      <c r="B52" s="8" t="s">
        <v>21</v>
      </c>
      <c r="C52" s="8" t="s">
        <v>20</v>
      </c>
      <c r="D52" s="7">
        <f>10.32+6.12</f>
        <v>16.440000000000001</v>
      </c>
      <c r="E52" s="7">
        <f>55980.53+38057.26</f>
        <v>94037.790000000008</v>
      </c>
      <c r="F52" s="4"/>
    </row>
    <row r="53" spans="1:6" s="1" customFormat="1" ht="31.5" x14ac:dyDescent="0.25">
      <c r="A53" s="7">
        <v>20</v>
      </c>
      <c r="B53" s="8" t="s">
        <v>76</v>
      </c>
      <c r="C53" s="8" t="s">
        <v>20</v>
      </c>
      <c r="D53" s="7">
        <f>13.5</f>
        <v>13.5</v>
      </c>
      <c r="E53" s="7">
        <f>127426.14</f>
        <v>127426.14</v>
      </c>
      <c r="F53" s="4"/>
    </row>
    <row r="54" spans="1:6" s="1" customFormat="1" ht="78.75" x14ac:dyDescent="0.25">
      <c r="A54" s="7">
        <v>21</v>
      </c>
      <c r="B54" s="8" t="s">
        <v>77</v>
      </c>
      <c r="C54" s="8" t="s">
        <v>13</v>
      </c>
      <c r="D54" s="7">
        <f>0.084</f>
        <v>8.4000000000000005E-2</v>
      </c>
      <c r="E54" s="7">
        <f>577.26</f>
        <v>577.26</v>
      </c>
      <c r="F54" s="4"/>
    </row>
    <row r="55" spans="1:6" s="1" customFormat="1" ht="78.75" x14ac:dyDescent="0.25">
      <c r="A55" s="7">
        <v>22</v>
      </c>
      <c r="B55" s="8" t="s">
        <v>78</v>
      </c>
      <c r="C55" s="8" t="s">
        <v>13</v>
      </c>
      <c r="D55" s="7">
        <f>0.084</f>
        <v>8.4000000000000005E-2</v>
      </c>
      <c r="E55" s="7">
        <f>794.08</f>
        <v>794.08</v>
      </c>
      <c r="F55" s="4"/>
    </row>
    <row r="56" spans="1:6" s="1" customFormat="1" ht="78.75" x14ac:dyDescent="0.25">
      <c r="A56" s="7">
        <v>23</v>
      </c>
      <c r="B56" s="8" t="s">
        <v>79</v>
      </c>
      <c r="C56" s="8" t="s">
        <v>13</v>
      </c>
      <c r="D56" s="7">
        <f>30.77+13.5</f>
        <v>44.269999999999996</v>
      </c>
      <c r="E56" s="7">
        <f>542967.24+244890.25</f>
        <v>787857.49</v>
      </c>
      <c r="F56" s="4"/>
    </row>
    <row r="57" spans="1:6" s="1" customFormat="1" ht="78.75" x14ac:dyDescent="0.25">
      <c r="A57" s="7">
        <v>24</v>
      </c>
      <c r="B57" s="8" t="s">
        <v>96</v>
      </c>
      <c r="C57" s="8" t="s">
        <v>13</v>
      </c>
      <c r="D57" s="7">
        <f>10.32+6.12</f>
        <v>16.440000000000001</v>
      </c>
      <c r="E57" s="7">
        <f>200596.94+89937.88</f>
        <v>290534.82</v>
      </c>
      <c r="F57" s="4"/>
    </row>
    <row r="58" spans="1:6" s="1" customFormat="1" ht="47.25" x14ac:dyDescent="0.25">
      <c r="A58" s="7">
        <v>25</v>
      </c>
      <c r="B58" s="8" t="s">
        <v>101</v>
      </c>
      <c r="C58" s="8" t="s">
        <v>102</v>
      </c>
      <c r="D58" s="7">
        <v>1</v>
      </c>
      <c r="E58" s="7">
        <f>3766.18+1173.13</f>
        <v>4939.3099999999995</v>
      </c>
      <c r="F58" s="4"/>
    </row>
    <row r="59" spans="1:6" s="1" customFormat="1" ht="78.75" x14ac:dyDescent="0.25">
      <c r="A59" s="7">
        <v>26</v>
      </c>
      <c r="B59" s="8" t="s">
        <v>27</v>
      </c>
      <c r="C59" s="8" t="s">
        <v>13</v>
      </c>
      <c r="D59" s="7">
        <f>0.84+0.488+0.488</f>
        <v>1.8159999999999998</v>
      </c>
      <c r="E59" s="7">
        <f>14667.6+8505.08+17696.14</f>
        <v>40868.82</v>
      </c>
      <c r="F59" s="4"/>
    </row>
    <row r="60" spans="1:6" s="1" customFormat="1" ht="78.75" x14ac:dyDescent="0.25">
      <c r="A60" s="7">
        <v>27</v>
      </c>
      <c r="B60" s="8" t="s">
        <v>80</v>
      </c>
      <c r="C60" s="8" t="s">
        <v>13</v>
      </c>
      <c r="D60" s="7">
        <f>2.1+2.98</f>
        <v>5.08</v>
      </c>
      <c r="E60" s="7">
        <f>90272.64+132846.72</f>
        <v>223119.35999999999</v>
      </c>
      <c r="F60" s="4"/>
    </row>
    <row r="61" spans="1:6" s="1" customFormat="1" ht="78.75" x14ac:dyDescent="0.25">
      <c r="A61" s="7">
        <v>28</v>
      </c>
      <c r="B61" s="8" t="s">
        <v>97</v>
      </c>
      <c r="C61" s="8" t="s">
        <v>13</v>
      </c>
      <c r="D61" s="7">
        <f>0.21</f>
        <v>0.21</v>
      </c>
      <c r="E61" s="7">
        <v>12925.14</v>
      </c>
      <c r="F61" s="4"/>
    </row>
    <row r="62" spans="1:6" s="1" customFormat="1" ht="78.75" x14ac:dyDescent="0.25">
      <c r="A62" s="7">
        <v>29</v>
      </c>
      <c r="B62" s="8" t="s">
        <v>81</v>
      </c>
      <c r="C62" s="8" t="s">
        <v>13</v>
      </c>
      <c r="D62" s="7">
        <f>5.12+1.242</f>
        <v>6.3620000000000001</v>
      </c>
      <c r="E62" s="7">
        <f>123882.67+40721.23</f>
        <v>164603.9</v>
      </c>
      <c r="F62" s="4"/>
    </row>
    <row r="63" spans="1:6" s="1" customFormat="1" ht="78.75" x14ac:dyDescent="0.25">
      <c r="A63" s="7">
        <v>30</v>
      </c>
      <c r="B63" s="8" t="s">
        <v>82</v>
      </c>
      <c r="C63" s="8" t="s">
        <v>13</v>
      </c>
      <c r="D63" s="7">
        <f>0.14</f>
        <v>0.14000000000000001</v>
      </c>
      <c r="E63" s="7">
        <f>4901.75</f>
        <v>4901.75</v>
      </c>
      <c r="F63" s="4"/>
    </row>
    <row r="64" spans="1:6" s="1" customFormat="1" ht="78.75" x14ac:dyDescent="0.25">
      <c r="A64" s="7">
        <v>31</v>
      </c>
      <c r="B64" s="8" t="s">
        <v>98</v>
      </c>
      <c r="C64" s="8" t="s">
        <v>13</v>
      </c>
      <c r="D64" s="7">
        <f>0.044</f>
        <v>4.3999999999999997E-2</v>
      </c>
      <c r="E64" s="7">
        <f>1457.54</f>
        <v>1457.54</v>
      </c>
      <c r="F64" s="4"/>
    </row>
    <row r="65" spans="1:6" s="1" customFormat="1" ht="78.75" x14ac:dyDescent="0.25">
      <c r="A65" s="7">
        <v>32</v>
      </c>
      <c r="B65" s="8" t="s">
        <v>83</v>
      </c>
      <c r="C65" s="8" t="s">
        <v>13</v>
      </c>
      <c r="D65" s="7">
        <f>0.17+0.621</f>
        <v>0.79100000000000004</v>
      </c>
      <c r="E65" s="7">
        <f>3184.67+12059.47</f>
        <v>15244.14</v>
      </c>
      <c r="F65" s="4"/>
    </row>
    <row r="66" spans="1:6" s="1" customFormat="1" ht="78.75" x14ac:dyDescent="0.25">
      <c r="A66" s="7">
        <v>33</v>
      </c>
      <c r="B66" s="8" t="s">
        <v>84</v>
      </c>
      <c r="C66" s="8" t="s">
        <v>13</v>
      </c>
      <c r="D66" s="7">
        <f>0.037</f>
        <v>3.6999999999999998E-2</v>
      </c>
      <c r="E66" s="7">
        <f>302.73</f>
        <v>302.73</v>
      </c>
      <c r="F66" s="4"/>
    </row>
    <row r="67" spans="1:6" s="1" customFormat="1" ht="31.5" x14ac:dyDescent="0.25">
      <c r="A67" s="7">
        <v>34</v>
      </c>
      <c r="B67" s="8" t="s">
        <v>108</v>
      </c>
      <c r="C67" s="8" t="s">
        <v>109</v>
      </c>
      <c r="D67" s="7">
        <f>0.03</f>
        <v>0.03</v>
      </c>
      <c r="E67" s="7">
        <f>1700.5</f>
        <v>1700.5</v>
      </c>
      <c r="F67" s="4"/>
    </row>
    <row r="68" spans="1:6" s="1" customFormat="1" ht="63" x14ac:dyDescent="0.25">
      <c r="A68" s="7">
        <v>35</v>
      </c>
      <c r="B68" s="8" t="s">
        <v>110</v>
      </c>
      <c r="C68" s="8" t="s">
        <v>111</v>
      </c>
      <c r="D68" s="7">
        <f>0.06</f>
        <v>0.06</v>
      </c>
      <c r="E68" s="7">
        <f>1197.07</f>
        <v>1197.07</v>
      </c>
      <c r="F68" s="4"/>
    </row>
    <row r="69" spans="1:6" s="1" customFormat="1" ht="31.5" x14ac:dyDescent="0.25">
      <c r="A69" s="7">
        <v>36</v>
      </c>
      <c r="B69" s="8" t="s">
        <v>112</v>
      </c>
      <c r="C69" s="8" t="s">
        <v>113</v>
      </c>
      <c r="D69" s="7">
        <f>0.06</f>
        <v>0.06</v>
      </c>
      <c r="E69" s="7">
        <f>8297.13</f>
        <v>8297.1299999999992</v>
      </c>
      <c r="F69" s="4"/>
    </row>
    <row r="70" spans="1:6" s="1" customFormat="1" ht="31.5" x14ac:dyDescent="0.25">
      <c r="A70" s="7">
        <v>37</v>
      </c>
      <c r="B70" s="8" t="s">
        <v>74</v>
      </c>
      <c r="C70" s="8" t="s">
        <v>12</v>
      </c>
      <c r="D70" s="7">
        <f>0.01+0.01+0.21+0.32+0.03</f>
        <v>0.58000000000000007</v>
      </c>
      <c r="E70" s="7">
        <f>1352.61+1364.43+28653.06+44418.87+4164.28</f>
        <v>79953.25</v>
      </c>
      <c r="F70" s="4"/>
    </row>
    <row r="71" spans="1:6" s="1" customFormat="1" ht="31.5" x14ac:dyDescent="0.25">
      <c r="A71" s="7">
        <v>38</v>
      </c>
      <c r="B71" s="8" t="s">
        <v>92</v>
      </c>
      <c r="C71" s="8" t="s">
        <v>12</v>
      </c>
      <c r="D71" s="7">
        <f>0.02+0.06</f>
        <v>0.08</v>
      </c>
      <c r="E71" s="7">
        <f>3313.45+8186.57</f>
        <v>11500.02</v>
      </c>
      <c r="F71" s="4"/>
    </row>
    <row r="72" spans="1:6" s="1" customFormat="1" ht="15.75" x14ac:dyDescent="0.25">
      <c r="A72" s="7">
        <v>39</v>
      </c>
      <c r="B72" s="8" t="s">
        <v>41</v>
      </c>
      <c r="C72" s="8" t="s">
        <v>28</v>
      </c>
      <c r="D72" s="7">
        <f>0.5+0.05</f>
        <v>0.55000000000000004</v>
      </c>
      <c r="E72" s="7">
        <f>4194.37+969.61+969.61</f>
        <v>6133.5899999999992</v>
      </c>
      <c r="F72" s="4"/>
    </row>
    <row r="73" spans="1:6" s="1" customFormat="1" ht="47.25" x14ac:dyDescent="0.25">
      <c r="A73" s="7">
        <v>40</v>
      </c>
      <c r="B73" s="8" t="s">
        <v>88</v>
      </c>
      <c r="C73" s="8" t="s">
        <v>20</v>
      </c>
      <c r="D73" s="7">
        <f>0.02</f>
        <v>0.02</v>
      </c>
      <c r="E73" s="7">
        <f>976.72</f>
        <v>976.72</v>
      </c>
      <c r="F73" s="4"/>
    </row>
    <row r="74" spans="1:6" s="1" customFormat="1" ht="47.25" x14ac:dyDescent="0.25">
      <c r="A74" s="7">
        <v>41</v>
      </c>
      <c r="B74" s="8" t="s">
        <v>93</v>
      </c>
      <c r="C74" s="8" t="s">
        <v>94</v>
      </c>
      <c r="D74" s="7">
        <f>0.02</f>
        <v>0.02</v>
      </c>
      <c r="E74" s="7">
        <f>1723.77</f>
        <v>1723.77</v>
      </c>
      <c r="F74" s="4"/>
    </row>
    <row r="75" spans="1:6" s="1" customFormat="1" ht="47.25" x14ac:dyDescent="0.25">
      <c r="A75" s="7">
        <v>42</v>
      </c>
      <c r="B75" s="8" t="s">
        <v>53</v>
      </c>
      <c r="C75" s="8" t="s">
        <v>54</v>
      </c>
      <c r="D75" s="7">
        <f>0.2+1.5</f>
        <v>1.7</v>
      </c>
      <c r="E75" s="7">
        <f>475.87+3390.58</f>
        <v>3866.45</v>
      </c>
      <c r="F75" s="4"/>
    </row>
    <row r="76" spans="1:6" s="1" customFormat="1" ht="31.5" x14ac:dyDescent="0.25">
      <c r="A76" s="7">
        <v>43</v>
      </c>
      <c r="B76" s="8" t="s">
        <v>104</v>
      </c>
      <c r="C76" s="8" t="s">
        <v>105</v>
      </c>
      <c r="D76" s="7">
        <f>493</f>
        <v>493</v>
      </c>
      <c r="E76" s="7">
        <f>369750</f>
        <v>369750</v>
      </c>
      <c r="F76" s="4"/>
    </row>
    <row r="77" spans="1:6" s="1" customFormat="1" ht="31.5" x14ac:dyDescent="0.25">
      <c r="A77" s="7">
        <v>44</v>
      </c>
      <c r="B77" s="8" t="s">
        <v>67</v>
      </c>
      <c r="C77" s="8" t="s">
        <v>68</v>
      </c>
      <c r="D77" s="7">
        <v>110</v>
      </c>
      <c r="E77" s="7">
        <f>1603.8</f>
        <v>1603.8</v>
      </c>
      <c r="F77" s="4"/>
    </row>
    <row r="78" spans="1:6" s="1" customFormat="1" ht="47.25" x14ac:dyDescent="0.25">
      <c r="A78" s="7">
        <v>45</v>
      </c>
      <c r="B78" s="8" t="s">
        <v>24</v>
      </c>
      <c r="C78" s="8" t="s">
        <v>25</v>
      </c>
      <c r="D78" s="7">
        <f>80</f>
        <v>80</v>
      </c>
      <c r="E78" s="7">
        <v>70208.800000000003</v>
      </c>
      <c r="F78" s="4"/>
    </row>
    <row r="79" spans="1:6" s="1" customFormat="1" ht="15.75" x14ac:dyDescent="0.25">
      <c r="A79" s="7"/>
      <c r="B79" s="8"/>
      <c r="C79" s="8"/>
      <c r="D79" s="7"/>
      <c r="E79" s="9">
        <f>SUM(E34:E78)</f>
        <v>2733390.96</v>
      </c>
      <c r="F79" s="4"/>
    </row>
    <row r="80" spans="1:6" ht="15.75" x14ac:dyDescent="0.25">
      <c r="A80" s="7"/>
      <c r="B80" s="8" t="s">
        <v>9</v>
      </c>
      <c r="C80" s="7"/>
      <c r="D80" s="7"/>
      <c r="E80" s="9">
        <f>E32+E79</f>
        <v>4059806.79</v>
      </c>
      <c r="F80" s="4"/>
    </row>
    <row r="81" spans="1:7" ht="15.75" x14ac:dyDescent="0.25">
      <c r="A81" s="7"/>
      <c r="B81" s="8"/>
      <c r="C81" s="7"/>
      <c r="D81" s="7"/>
      <c r="E81" s="7"/>
      <c r="F81" s="4"/>
    </row>
    <row r="82" spans="1:7" ht="15.75" x14ac:dyDescent="0.25">
      <c r="A82" s="10"/>
      <c r="B82" s="10"/>
      <c r="C82" s="10"/>
      <c r="D82" s="10"/>
      <c r="E82" s="10"/>
      <c r="F82" s="4"/>
    </row>
    <row r="83" spans="1:7" ht="15.75" x14ac:dyDescent="0.25">
      <c r="A83" s="10"/>
      <c r="B83" s="10" t="s">
        <v>14</v>
      </c>
      <c r="C83" s="10" t="s">
        <v>15</v>
      </c>
      <c r="D83" s="10"/>
      <c r="E83" s="10"/>
      <c r="F83" s="1"/>
    </row>
    <row r="84" spans="1:7" x14ac:dyDescent="0.25">
      <c r="A84" s="2"/>
      <c r="B84" s="2"/>
      <c r="C84" s="2"/>
      <c r="D84" s="2"/>
      <c r="E84" s="2"/>
      <c r="F84" s="1"/>
    </row>
    <row r="85" spans="1:7" x14ac:dyDescent="0.25">
      <c r="A85" s="2"/>
      <c r="B85" s="2"/>
      <c r="C85" s="2"/>
      <c r="D85" s="2"/>
      <c r="E85" s="2"/>
      <c r="F85" s="1"/>
    </row>
    <row r="86" spans="1:7" x14ac:dyDescent="0.25">
      <c r="A86" s="2"/>
      <c r="B86" s="2" t="s">
        <v>16</v>
      </c>
      <c r="C86" s="2"/>
      <c r="D86" s="2"/>
      <c r="E86" s="2"/>
      <c r="F86" s="1"/>
    </row>
    <row r="87" spans="1:7" x14ac:dyDescent="0.25">
      <c r="A87" s="2"/>
      <c r="B87" s="2"/>
      <c r="C87" s="2"/>
      <c r="D87" s="2"/>
      <c r="E87" s="2"/>
      <c r="F87" s="14"/>
      <c r="G87" s="14"/>
    </row>
    <row r="88" spans="1:7" x14ac:dyDescent="0.25">
      <c r="A88" s="2"/>
      <c r="B88" s="2"/>
      <c r="C88" s="2"/>
      <c r="D88" s="2"/>
      <c r="E88" s="2"/>
      <c r="G88" s="14"/>
    </row>
    <row r="89" spans="1:7" x14ac:dyDescent="0.25">
      <c r="A89" s="2"/>
      <c r="B89" s="2"/>
      <c r="C89" s="2"/>
      <c r="D89" s="2"/>
      <c r="E89" s="2"/>
      <c r="F89" s="14"/>
    </row>
    <row r="90" spans="1:7" x14ac:dyDescent="0.25">
      <c r="A90" s="2"/>
      <c r="B90" s="2"/>
      <c r="C90" s="2"/>
      <c r="D90" s="2"/>
      <c r="E90" s="2"/>
      <c r="G90" s="14"/>
    </row>
    <row r="91" spans="1:7" x14ac:dyDescent="0.25">
      <c r="A91" s="2"/>
      <c r="B91" s="2"/>
      <c r="C91" s="2"/>
      <c r="D91" s="2"/>
      <c r="E91" s="2"/>
    </row>
    <row r="92" spans="1:7" x14ac:dyDescent="0.25">
      <c r="A92" s="2"/>
      <c r="B92" s="2"/>
      <c r="C92" s="2"/>
      <c r="D92" s="2"/>
      <c r="E92" s="2"/>
    </row>
    <row r="93" spans="1:7" x14ac:dyDescent="0.25">
      <c r="A93" s="2"/>
      <c r="B93" s="2"/>
      <c r="C93" s="2"/>
      <c r="D93" s="2"/>
      <c r="E93" s="2"/>
    </row>
    <row r="94" spans="1:7" x14ac:dyDescent="0.25">
      <c r="A94" s="2"/>
      <c r="B94" s="2"/>
      <c r="C94" s="2"/>
      <c r="D94" s="2"/>
      <c r="E94" s="2"/>
    </row>
    <row r="95" spans="1:7" x14ac:dyDescent="0.25">
      <c r="A95" s="2"/>
      <c r="B95" s="2"/>
      <c r="C95" s="2"/>
      <c r="D95" s="2"/>
      <c r="E95" s="2"/>
    </row>
    <row r="96" spans="1:7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2018-02-15T07:28:55Z</cp:lastPrinted>
  <dcterms:created xsi:type="dcterms:W3CDTF">2016-09-29T06:37:31Z</dcterms:created>
  <dcterms:modified xsi:type="dcterms:W3CDTF">2018-02-21T09:04:47Z</dcterms:modified>
</cp:coreProperties>
</file>