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6" i="1" l="1"/>
  <c r="E85" i="1" l="1"/>
  <c r="E89" i="1"/>
  <c r="E68" i="1"/>
  <c r="E67" i="1"/>
  <c r="E88" i="1"/>
  <c r="D88" i="1"/>
  <c r="E73" i="1"/>
  <c r="E30" i="1"/>
  <c r="E43" i="1"/>
  <c r="E36" i="1"/>
  <c r="E33" i="1"/>
  <c r="E31" i="1"/>
  <c r="E79" i="1"/>
  <c r="E77" i="1"/>
  <c r="E75" i="1"/>
  <c r="E74" i="1"/>
  <c r="E37" i="1"/>
  <c r="E35" i="1"/>
  <c r="E34" i="1"/>
  <c r="E39" i="1"/>
  <c r="E38" i="1"/>
  <c r="E72" i="1"/>
  <c r="E81" i="1"/>
  <c r="E83" i="1"/>
  <c r="E40" i="1"/>
  <c r="E32" i="1"/>
  <c r="E42" i="1"/>
  <c r="E41" i="1"/>
  <c r="E76" i="1"/>
  <c r="E84" i="1"/>
  <c r="E54" i="1"/>
  <c r="E66" i="1"/>
  <c r="E82" i="1"/>
  <c r="E78" i="1"/>
  <c r="E62" i="1"/>
  <c r="E49" i="1"/>
  <c r="E60" i="1"/>
  <c r="E59" i="1"/>
  <c r="E58" i="1"/>
  <c r="E57" i="1"/>
  <c r="E56" i="1"/>
  <c r="E55" i="1"/>
  <c r="E52" i="1"/>
  <c r="E50" i="1"/>
  <c r="E46" i="1"/>
  <c r="E44" i="1"/>
  <c r="E45" i="1"/>
  <c r="E65" i="1"/>
  <c r="E64" i="1"/>
  <c r="E80" i="1"/>
  <c r="E61" i="1"/>
  <c r="E53" i="1"/>
  <c r="E51" i="1"/>
  <c r="E48" i="1"/>
  <c r="E63" i="1"/>
  <c r="E47" i="1"/>
  <c r="D43" i="1"/>
  <c r="D40" i="1"/>
  <c r="D39" i="1"/>
  <c r="D37" i="1"/>
  <c r="D36" i="1"/>
  <c r="D34" i="1"/>
  <c r="D30" i="1"/>
  <c r="E18" i="1"/>
  <c r="E10" i="1"/>
  <c r="D10" i="1"/>
  <c r="E24" i="1"/>
  <c r="E23" i="1"/>
  <c r="E22" i="1"/>
  <c r="D22" i="1"/>
  <c r="D63" i="1"/>
  <c r="D54" i="1"/>
  <c r="D82" i="1"/>
  <c r="D47" i="1"/>
  <c r="D62" i="1"/>
  <c r="D50" i="1"/>
  <c r="D60" i="1"/>
  <c r="D59" i="1"/>
  <c r="D58" i="1"/>
  <c r="D56" i="1"/>
  <c r="D55" i="1"/>
  <c r="D53" i="1"/>
  <c r="D48" i="1"/>
  <c r="D46" i="1"/>
  <c r="D44" i="1"/>
  <c r="D45" i="1"/>
  <c r="E86" i="1"/>
  <c r="D86" i="1"/>
  <c r="D83" i="1"/>
  <c r="D67" i="1"/>
  <c r="D35" i="1"/>
  <c r="D74" i="1"/>
  <c r="E17" i="1"/>
  <c r="D17" i="1"/>
  <c r="E25" i="1"/>
  <c r="D25" i="1"/>
  <c r="D61" i="1"/>
  <c r="D49" i="1"/>
  <c r="D57" i="1"/>
  <c r="D51" i="1"/>
  <c r="D38" i="1"/>
  <c r="D32" i="1"/>
  <c r="E15" i="1"/>
  <c r="D15" i="1"/>
  <c r="E13" i="1"/>
  <c r="D13" i="1"/>
  <c r="D78" i="1"/>
  <c r="D52" i="1" l="1"/>
  <c r="D65" i="1"/>
  <c r="D64" i="1"/>
  <c r="D80" i="1"/>
  <c r="D73" i="1"/>
  <c r="D76" i="1"/>
  <c r="D66" i="1"/>
  <c r="D84" i="1"/>
  <c r="D79" i="1"/>
  <c r="D75" i="1"/>
  <c r="E27" i="1"/>
  <c r="D27" i="1"/>
  <c r="D11" i="1"/>
  <c r="E12" i="1"/>
  <c r="D12" i="1"/>
  <c r="E11" i="1"/>
  <c r="E20" i="1"/>
  <c r="E19" i="1"/>
  <c r="D19" i="1"/>
  <c r="E21" i="1" l="1"/>
  <c r="D21" i="1"/>
  <c r="D81" i="1"/>
  <c r="D33" i="1"/>
  <c r="D42" i="1"/>
  <c r="D41" i="1"/>
  <c r="D77" i="1"/>
  <c r="D72" i="1"/>
  <c r="E16" i="1"/>
  <c r="E28" i="1" s="1"/>
  <c r="D16" i="1"/>
  <c r="D31" i="1"/>
  <c r="D18" i="1"/>
  <c r="D23" i="1"/>
  <c r="D71" i="1"/>
  <c r="D69" i="1"/>
  <c r="D68" i="1"/>
  <c r="E90" i="1" l="1"/>
</calcChain>
</file>

<file path=xl/sharedStrings.xml><?xml version="1.0" encoding="utf-8"?>
<sst xmlns="http://schemas.openxmlformats.org/spreadsheetml/2006/main" count="171" uniqueCount="122">
  <si>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</si>
  <si>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</si>
  <si>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</si>
  <si>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</si>
  <si>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</si>
  <si>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</si>
  <si>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</si>
  <si>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</si>
  <si>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</si>
  <si>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</si>
  <si>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</si>
  <si>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</si>
  <si>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</si>
  <si>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</si>
  <si>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</si>
  <si>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</si>
  <si>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</si>
  <si>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</si>
  <si>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</si>
  <si>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</si>
  <si>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</si>
  <si>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</si>
  <si>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</si>
  <si>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</si>
  <si>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</si>
  <si>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</si>
  <si>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</si>
  <si>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</si>
  <si>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</si>
  <si>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Смена выключателей</t>
  </si>
  <si>
    <t>100м</t>
  </si>
  <si>
    <t>Смена кранов на шаровые краны диам. 15,25,32мм</t>
  </si>
  <si>
    <t>1 врезка</t>
  </si>
  <si>
    <t>шт</t>
  </si>
  <si>
    <t>100м2 покрытия</t>
  </si>
  <si>
    <t>Окраска масляными составами ранее окрашенных поверхностей труб стальных за 2 раза</t>
  </si>
  <si>
    <t>Очистка канализационной сети внутренней</t>
  </si>
  <si>
    <t>100 м трубопровода</t>
  </si>
  <si>
    <t>Смена дверных приборов замки навесные</t>
  </si>
  <si>
    <t>100 шт приб.</t>
  </si>
  <si>
    <t>Врезка в действующие внутренние сети трубопроводов ГВС диам.32мм</t>
  </si>
  <si>
    <t>Смена существующих рулонных кровель на покрытия из наплавляемых материалов в один слой</t>
  </si>
  <si>
    <t xml:space="preserve">                                       по Пролетарскому проспекту</t>
  </si>
  <si>
    <t>м3</t>
  </si>
  <si>
    <t>Улучшенная масляная окраска ранее окрашенных стен за 2 раза с расчисткой старой краски до 35%</t>
  </si>
  <si>
    <t>Улучшенная масляная окраска ранее окрашенных дверей за 2 раза с расчисткой старой краски до 35%</t>
  </si>
  <si>
    <t>10шт</t>
  </si>
  <si>
    <t>Смена существующих рулонных кровель на покрытия из наплавляемых материалов в 2 слоя</t>
  </si>
  <si>
    <t>Прокладка провода</t>
  </si>
  <si>
    <t>Третья шпатлевка при высококачественной окраске по штукатурке  стен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</si>
  <si>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</si>
  <si>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ранее окрашенных металлических поверхностей домофонных дверей за 2 раза</t>
  </si>
  <si>
    <t>Демонтаж светильников</t>
  </si>
  <si>
    <t>имущества МКД, выполненных за 2017  года на жилом доме № 12</t>
  </si>
  <si>
    <t>Навеска страховочного троса</t>
  </si>
  <si>
    <t xml:space="preserve"> 1 операция</t>
  </si>
  <si>
    <t>Навеска рабочего троса</t>
  </si>
  <si>
    <t>1 операция</t>
  </si>
  <si>
    <t>Перенавеска рабочего троса</t>
  </si>
  <si>
    <t>Установка держателя для светильника</t>
  </si>
  <si>
    <t>Смена рассеивателей</t>
  </si>
  <si>
    <t>Прокладка гофры</t>
  </si>
  <si>
    <t>Установка выключателя для открытой проводки</t>
  </si>
  <si>
    <t>Установка выключателя для скрытой проводки</t>
  </si>
  <si>
    <t xml:space="preserve">100 шт </t>
  </si>
  <si>
    <t>Смена трубопроводов из полиэтиленовых канализационных труб диам. до 100мм</t>
  </si>
  <si>
    <t>100м трубопровода с фасонными частями</t>
  </si>
  <si>
    <t>Врезка в действующие внутренние сети трубопроводов ГВС диам.25мм</t>
  </si>
  <si>
    <t>Смена ламп светодиодных</t>
  </si>
  <si>
    <t>Смена внутренних трубопроводов из стальных труб  диаметром до 20мм</t>
  </si>
  <si>
    <t>Смена внутренних трубопроводов из стальных труб  диаметром до 32мм</t>
  </si>
  <si>
    <t>Врезка в действующие внутренние сети трубопроводов ГВС диам.15мм</t>
  </si>
  <si>
    <t>Врезка в действующие внутренние сети трубопроводов ГВС диам.20мм</t>
  </si>
  <si>
    <t>Прокладка трубопроводов из напорных полипропиленовых труб с установкой муфтовой и фланцевой арматуры: диам.32мм</t>
  </si>
  <si>
    <t>Прокладка трубопроводов из напорных полипропиленовых труб с установкой муфтовой и фланцевой арматуры: диам.20мм</t>
  </si>
  <si>
    <t>Демонтаж радиаторов весом до 80 кг</t>
  </si>
  <si>
    <t>Установка радиаторов стальных</t>
  </si>
  <si>
    <t>100кВт</t>
  </si>
  <si>
    <t>Прокладка трубопроводов из напорных полипропиленовых труб с установкой муфтовой и фланцевой арматуры: диам.25мм</t>
  </si>
  <si>
    <t>Смена внутренних трубопроводов из стальных труб  диаметром до 50мм</t>
  </si>
  <si>
    <t>Ремонт и восстановление герметизации стыков шириной панельного шва 30мм</t>
  </si>
  <si>
    <t>100м восстановленной герметизации стыков</t>
  </si>
  <si>
    <t>Пробивка в бетонных конструкциях полов и стен борозд площадью сечения до 20см2</t>
  </si>
  <si>
    <t>100м борозд</t>
  </si>
  <si>
    <t>Подготовка почвы для газона</t>
  </si>
  <si>
    <t>100м2</t>
  </si>
  <si>
    <t>Установка бортовых камней бетонных при цементобетонных покрытиях</t>
  </si>
  <si>
    <t>100м бортового</t>
  </si>
  <si>
    <t>100 загл</t>
  </si>
  <si>
    <t>Простая масляная окраска ранее окрашенных бордюров без подготовки с расчисткой старой краски до 10% с земли и лесов</t>
  </si>
  <si>
    <t>Смена пакетных выключателей</t>
  </si>
  <si>
    <t>Короба пластмассовые шириной до 40мм</t>
  </si>
  <si>
    <t>Ремонт групповых щитков на лестничной клетке со сменой автоматов</t>
  </si>
  <si>
    <t xml:space="preserve">Огрунтовка ранее окрашенных фасадов под окраску перхлорвиниловыми красками простых </t>
  </si>
  <si>
    <t>100м2 обработанной поверхности</t>
  </si>
  <si>
    <t>Улучшенная масляная окраска ранее окрашенных фасадов с расчисткой старой краски до 35% с земли и лесов</t>
  </si>
  <si>
    <t>Окраска водоэмульсионными составами потолков, ранее окрашенных водоэмульсионной краской</t>
  </si>
  <si>
    <t>Окраска водоэмульсионными составами стен, ранее окрашенных водоэмульсионной краской</t>
  </si>
  <si>
    <t>Улучшенная масляная окраска ранее окрашенных окон за 2 раза с расчисткой старой краски до 35%</t>
  </si>
  <si>
    <t>Окраска масляными составами ранее окрашенных металлических деталей мусоропровода</t>
  </si>
  <si>
    <t>Разборка покрытий полов из керамических плиток</t>
  </si>
  <si>
    <t>Устройство покрытий из керамогранитных плиток размером 30х30см</t>
  </si>
  <si>
    <t>Снятие дверных полотен</t>
  </si>
  <si>
    <t>100м2 дверных полотен</t>
  </si>
  <si>
    <t>Демонтаж дверных коробок в каменных стенах с отбивкой штукатурки в откосах</t>
  </si>
  <si>
    <t>100 коробок</t>
  </si>
  <si>
    <t>Установка элементов каркаса из брусьев</t>
  </si>
  <si>
    <t>1м3 древесины в конструкции</t>
  </si>
  <si>
    <t>Установка блоков в наружных и внутренних дверных проемах в каменных стенах,площадью проема до 3м2</t>
  </si>
  <si>
    <t>100м2 проема</t>
  </si>
  <si>
    <t>Смена розеток</t>
  </si>
  <si>
    <t>Окраска масляными красками торцов лестничных маршей</t>
  </si>
  <si>
    <t>Очистка поверхности щетками</t>
  </si>
  <si>
    <t>м2 очищаемой поверхн.</t>
  </si>
  <si>
    <t>Изготовление и установка откидных пандусов</t>
  </si>
  <si>
    <t>Окраска масляными составами ранее окрашенных поверхностей радиаторов и ребристых труб отопления за 2 раза</t>
  </si>
  <si>
    <t>Установка 6-ти секционных почтовых ящиков</t>
  </si>
  <si>
    <t>Установка хомутов  диам. трубопроводов до 150мм</t>
  </si>
  <si>
    <t>Очистка канализационной сети дворовой</t>
  </si>
  <si>
    <t>Механизированная уборка снега на придомовой территории</t>
  </si>
  <si>
    <t>мин</t>
  </si>
  <si>
    <t>Услуги трактора,экскаватор-погрузчика,погрузка и вывоз снега со складированием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</si>
</sst>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topLeftCell="A58" workbookViewId="0">
      <selection activeCell="A96" sqref="A1:E9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5.5703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21</v>
      </c>
      <c r="C3" s="3"/>
      <c r="D3" s="3"/>
      <c r="E3" s="3"/>
      <c r="F3" s="1"/>
    </row>
    <row r="4" spans="1:6" ht="15.75" x14ac:dyDescent="0.25">
      <c r="A4" s="4"/>
      <c r="B4" s="3" t="s">
        <v>53</v>
      </c>
      <c r="C4" s="3"/>
      <c r="D4" s="3"/>
      <c r="E4" s="3"/>
      <c r="F4" s="1"/>
    </row>
    <row r="5" spans="1:6" ht="15.75" x14ac:dyDescent="0.25">
      <c r="A5" s="4"/>
      <c r="B5" s="3" t="s">
        <v>42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0.22+0.43+0.47+0.9+0.2+0.04+0.1+0.15+0.16+0.28+0.11+0.16</f>
        <v>3.22</v>
      </c>
      <c r="E10" s="7">
        <f>3336.03+6520.39+7126.96+13791.89+3064.86+612.97+1550.28+2325.42+2480.45+4340.76+1705.32+2480.45</f>
        <v>49335.779999999992</v>
      </c>
      <c r="F10" s="4"/>
    </row>
    <row r="11" spans="1:6" s="1" customFormat="1" ht="15.75" x14ac:dyDescent="0.25">
      <c r="A11" s="7">
        <v>2</v>
      </c>
      <c r="B11" s="8" t="s">
        <v>59</v>
      </c>
      <c r="C11" s="8" t="s">
        <v>46</v>
      </c>
      <c r="D11" s="7">
        <f>2.1+6+0.1+4</f>
        <v>12.2</v>
      </c>
      <c r="E11" s="7">
        <f>561.58+1797.06+29.95+1198.04</f>
        <v>3586.6299999999997</v>
      </c>
      <c r="F11" s="4"/>
    </row>
    <row r="12" spans="1:6" s="1" customFormat="1" ht="15.75" x14ac:dyDescent="0.25">
      <c r="A12" s="7">
        <v>3</v>
      </c>
      <c r="B12" s="8" t="s">
        <v>60</v>
      </c>
      <c r="C12" s="8" t="s">
        <v>33</v>
      </c>
      <c r="D12" s="7">
        <f>2.1+60+1+4</f>
        <v>67.099999999999994</v>
      </c>
      <c r="E12" s="7">
        <f>800.23+22448+374.13+1496.53</f>
        <v>25118.89</v>
      </c>
      <c r="F12" s="4"/>
    </row>
    <row r="13" spans="1:6" s="1" customFormat="1" ht="31.5" x14ac:dyDescent="0.25">
      <c r="A13" s="7">
        <v>4</v>
      </c>
      <c r="B13" s="8" t="s">
        <v>28</v>
      </c>
      <c r="C13" s="8" t="s">
        <v>13</v>
      </c>
      <c r="D13" s="7">
        <f>0.01</f>
        <v>0.01</v>
      </c>
      <c r="E13" s="7">
        <f>631.6</f>
        <v>631.6</v>
      </c>
      <c r="F13" s="4"/>
    </row>
    <row r="14" spans="1:6" s="1" customFormat="1" ht="15.75" x14ac:dyDescent="0.25">
      <c r="A14" s="7">
        <v>5</v>
      </c>
      <c r="B14" s="8" t="s">
        <v>52</v>
      </c>
      <c r="C14" s="8" t="s">
        <v>13</v>
      </c>
      <c r="D14" s="7"/>
      <c r="E14" s="7"/>
      <c r="F14" s="4"/>
    </row>
    <row r="15" spans="1:6" s="1" customFormat="1" ht="15.75" x14ac:dyDescent="0.25">
      <c r="A15" s="7">
        <v>6</v>
      </c>
      <c r="B15" s="8" t="s">
        <v>110</v>
      </c>
      <c r="C15" s="8" t="s">
        <v>13</v>
      </c>
      <c r="D15" s="7">
        <f>0.01</f>
        <v>0.01</v>
      </c>
      <c r="E15" s="7">
        <f>142.73</f>
        <v>142.72999999999999</v>
      </c>
      <c r="F15" s="4"/>
    </row>
    <row r="16" spans="1:6" s="1" customFormat="1" ht="15.75" x14ac:dyDescent="0.25">
      <c r="A16" s="7">
        <v>7</v>
      </c>
      <c r="B16" s="8" t="s">
        <v>29</v>
      </c>
      <c r="C16" s="8" t="s">
        <v>13</v>
      </c>
      <c r="D16" s="7">
        <f>0.02</f>
        <v>0.02</v>
      </c>
      <c r="E16" s="7">
        <f>279.84</f>
        <v>279.83999999999997</v>
      </c>
      <c r="F16" s="4"/>
    </row>
    <row r="17" spans="1:6" s="1" customFormat="1" ht="31.5" x14ac:dyDescent="0.25">
      <c r="A17" s="7">
        <v>8</v>
      </c>
      <c r="B17" s="8" t="s">
        <v>92</v>
      </c>
      <c r="C17" s="8" t="s">
        <v>13</v>
      </c>
      <c r="D17" s="7">
        <f>0.01</f>
        <v>0.01</v>
      </c>
      <c r="E17" s="7">
        <f>2470+523.99</f>
        <v>2993.99</v>
      </c>
      <c r="F17" s="4"/>
    </row>
    <row r="18" spans="1:6" s="1" customFormat="1" ht="47.25" x14ac:dyDescent="0.25">
      <c r="A18" s="7">
        <v>9</v>
      </c>
      <c r="B18" s="8" t="s">
        <v>26</v>
      </c>
      <c r="C18" s="8" t="s">
        <v>27</v>
      </c>
      <c r="D18" s="7">
        <f>0.9</f>
        <v>0.9</v>
      </c>
      <c r="E18" s="7">
        <f>3718.11+3718.11+3718.11+3718.11+3818.25+3929.51+3929.51+3929.51+3929.51+3929.51+3929.51</f>
        <v>42267.750000000015</v>
      </c>
      <c r="F18" s="4"/>
    </row>
    <row r="19" spans="1:6" ht="47.25" x14ac:dyDescent="0.25">
      <c r="A19" s="7">
        <v>10</v>
      </c>
      <c r="B19" s="8" t="s">
        <v>15</v>
      </c>
      <c r="C19" s="8" t="s">
        <v>12</v>
      </c>
      <c r="D19" s="7">
        <f>99</f>
        <v>99</v>
      </c>
      <c r="E19" s="7">
        <f>417833.85</f>
        <v>417833.85</v>
      </c>
      <c r="F19" s="4"/>
    </row>
    <row r="20" spans="1:6" ht="47.25" x14ac:dyDescent="0.25">
      <c r="A20" s="7">
        <v>11</v>
      </c>
      <c r="B20" s="8" t="s">
        <v>16</v>
      </c>
      <c r="C20" s="8" t="s">
        <v>12</v>
      </c>
      <c r="D20" s="7">
        <v>3.08</v>
      </c>
      <c r="E20" s="7">
        <f>5551.28</f>
        <v>5551.28</v>
      </c>
      <c r="F20" s="4"/>
    </row>
    <row r="21" spans="1:6" s="1" customFormat="1" ht="31.5" x14ac:dyDescent="0.25">
      <c r="A21" s="7">
        <v>12</v>
      </c>
      <c r="B21" s="8" t="s">
        <v>17</v>
      </c>
      <c r="C21" s="8" t="s">
        <v>13</v>
      </c>
      <c r="D21" s="7">
        <f>0.02+0.02</f>
        <v>0.04</v>
      </c>
      <c r="E21" s="7">
        <f>1728+1756.04</f>
        <v>3484.04</v>
      </c>
      <c r="F21" s="4"/>
    </row>
    <row r="22" spans="1:6" s="1" customFormat="1" ht="31.5" x14ac:dyDescent="0.25">
      <c r="A22" s="7">
        <v>13</v>
      </c>
      <c r="B22" s="8" t="s">
        <v>117</v>
      </c>
      <c r="C22" s="8" t="s">
        <v>88</v>
      </c>
      <c r="D22" s="7">
        <f>0.04+0.03</f>
        <v>7.0000000000000007E-2</v>
      </c>
      <c r="E22" s="7">
        <f>3588.08+2721.48</f>
        <v>6309.5599999999995</v>
      </c>
      <c r="F22" s="4"/>
    </row>
    <row r="23" spans="1:6" s="1" customFormat="1" ht="78.75" x14ac:dyDescent="0.25">
      <c r="A23" s="7">
        <v>14</v>
      </c>
      <c r="B23" s="8" t="s">
        <v>22</v>
      </c>
      <c r="C23" s="8" t="s">
        <v>23</v>
      </c>
      <c r="D23" s="7">
        <f>3.08</f>
        <v>3.08</v>
      </c>
      <c r="E23" s="7">
        <f>5405.69+5405.69+5405.69+5405.69+5713.05+5713.05+5713.05+5713.05+5713.05+5713.05</f>
        <v>55901.060000000012</v>
      </c>
      <c r="F23" s="4"/>
    </row>
    <row r="24" spans="1:6" s="1" customFormat="1" ht="31.5" x14ac:dyDescent="0.25">
      <c r="A24" s="7">
        <v>15</v>
      </c>
      <c r="B24" s="8" t="s">
        <v>24</v>
      </c>
      <c r="C24" s="8" t="s">
        <v>25</v>
      </c>
      <c r="D24" s="7">
        <v>3.6</v>
      </c>
      <c r="E24" s="7">
        <f>94774.97+94774.97+94774.97+94774.97+97327.7+100164.05+100164.05+100164.05+100164.05+100164.05+100164.05</f>
        <v>1077411.8800000001</v>
      </c>
      <c r="F24" s="4"/>
    </row>
    <row r="25" spans="1:6" s="1" customFormat="1" ht="47.25" x14ac:dyDescent="0.25">
      <c r="A25" s="7">
        <v>16</v>
      </c>
      <c r="B25" s="8" t="s">
        <v>36</v>
      </c>
      <c r="C25" s="8" t="s">
        <v>37</v>
      </c>
      <c r="D25" s="7">
        <f>0.32+0.45+0.51+0.72+0.39+0.14+0.06+0.56+0.42+0.36</f>
        <v>3.93</v>
      </c>
      <c r="E25" s="7">
        <f>5348.2+6585.88+7639.37+10785.01+5841.89+2157.45+924.64+8629.86+6476.5+5551.28</f>
        <v>59940.079999999994</v>
      </c>
      <c r="F25" s="4"/>
    </row>
    <row r="26" spans="1:6" s="1" customFormat="1" ht="47.25" x14ac:dyDescent="0.25">
      <c r="A26" s="7">
        <v>17</v>
      </c>
      <c r="B26" s="8" t="s">
        <v>118</v>
      </c>
      <c r="C26" s="8" t="s">
        <v>37</v>
      </c>
      <c r="D26" s="7">
        <v>0.62</v>
      </c>
      <c r="E26" s="7">
        <f>30751.71</f>
        <v>30751.71</v>
      </c>
      <c r="F26" s="4"/>
    </row>
    <row r="27" spans="1:6" s="1" customFormat="1" ht="31.5" x14ac:dyDescent="0.25">
      <c r="A27" s="7">
        <v>18</v>
      </c>
      <c r="B27" s="8" t="s">
        <v>38</v>
      </c>
      <c r="C27" s="8" t="s">
        <v>39</v>
      </c>
      <c r="D27" s="7">
        <f>0.02+0.01</f>
        <v>0.03</v>
      </c>
      <c r="E27" s="7">
        <f>1094.44+379.97</f>
        <v>1474.41</v>
      </c>
      <c r="F27" s="4"/>
    </row>
    <row r="28" spans="1:6" ht="15.75" x14ac:dyDescent="0.25">
      <c r="A28" s="7"/>
      <c r="B28" s="8"/>
      <c r="C28" s="8"/>
      <c r="D28" s="7"/>
      <c r="E28" s="9">
        <f>SUM(E10:E27)</f>
        <v>1783015.0800000003</v>
      </c>
      <c r="F28" s="4"/>
    </row>
    <row r="29" spans="1:6" ht="15.75" x14ac:dyDescent="0.25">
      <c r="A29" s="7"/>
      <c r="B29" s="12" t="s">
        <v>11</v>
      </c>
      <c r="C29" s="8"/>
      <c r="D29" s="7"/>
      <c r="E29" s="7"/>
      <c r="F29" s="4"/>
    </row>
    <row r="30" spans="1:6" ht="31.5" x14ac:dyDescent="0.25">
      <c r="A30" s="7">
        <v>1</v>
      </c>
      <c r="B30" s="8" t="s">
        <v>31</v>
      </c>
      <c r="C30" s="8" t="s">
        <v>13</v>
      </c>
      <c r="D30" s="7">
        <f>0.01+0.01+0.1+0.1+0.14+0.03+0.03+0.13+0.14+0.02+0.02+0.06+0.03+0.06</f>
        <v>0.88000000000000012</v>
      </c>
      <c r="E30" s="7">
        <f>3177.05+274.64+933.68+1830.75+3500.04+1768.89+1150.72+6752.73+251.51+10475.23+1686.45+2260.21+6472.86+9960.89+5256.32+306.8+297.72+755.35+554.77</f>
        <v>57666.61</v>
      </c>
      <c r="F30" s="4"/>
    </row>
    <row r="31" spans="1:6" s="1" customFormat="1" ht="63" x14ac:dyDescent="0.25">
      <c r="A31" s="7">
        <v>2</v>
      </c>
      <c r="B31" s="8" t="s">
        <v>74</v>
      </c>
      <c r="C31" s="8" t="s">
        <v>12</v>
      </c>
      <c r="D31" s="7">
        <f>0.03</f>
        <v>0.03</v>
      </c>
      <c r="E31" s="7">
        <f>2276.43</f>
        <v>2276.4299999999998</v>
      </c>
      <c r="F31" s="4"/>
    </row>
    <row r="32" spans="1:6" s="1" customFormat="1" ht="63" x14ac:dyDescent="0.25">
      <c r="A32" s="7">
        <v>3</v>
      </c>
      <c r="B32" s="8" t="s">
        <v>78</v>
      </c>
      <c r="C32" s="8" t="s">
        <v>12</v>
      </c>
      <c r="D32" s="7">
        <f>0.01+0.01</f>
        <v>0.02</v>
      </c>
      <c r="E32" s="7">
        <f>1203.48+408.49</f>
        <v>1611.97</v>
      </c>
      <c r="F32" s="4"/>
    </row>
    <row r="33" spans="1:6" s="1" customFormat="1" ht="63" x14ac:dyDescent="0.25">
      <c r="A33" s="7">
        <v>4</v>
      </c>
      <c r="B33" s="8" t="s">
        <v>73</v>
      </c>
      <c r="C33" s="8" t="s">
        <v>12</v>
      </c>
      <c r="D33" s="7">
        <f>0.06</f>
        <v>0.06</v>
      </c>
      <c r="E33" s="7">
        <f>1616.67+492.33+110.32+76.74+1596.83+13.75+153.2+4790.51+153.2+20.36+74.12+102.58+27.21+9.3+306.4</f>
        <v>9543.52</v>
      </c>
      <c r="F33" s="4"/>
    </row>
    <row r="34" spans="1:6" s="1" customFormat="1" ht="31.5" x14ac:dyDescent="0.25">
      <c r="A34" s="7">
        <v>5</v>
      </c>
      <c r="B34" s="8" t="s">
        <v>71</v>
      </c>
      <c r="C34" s="8" t="s">
        <v>32</v>
      </c>
      <c r="D34" s="7">
        <f>5+5+2+2+1+1+2</f>
        <v>18</v>
      </c>
      <c r="E34" s="7">
        <f>6455.09+3227.53+3225.32+6275.84+6275.84+15689.64+15299.89</f>
        <v>56449.149999999994</v>
      </c>
      <c r="F34" s="4"/>
    </row>
    <row r="35" spans="1:6" s="1" customFormat="1" ht="31.5" x14ac:dyDescent="0.25">
      <c r="A35" s="7">
        <v>6</v>
      </c>
      <c r="B35" s="8" t="s">
        <v>72</v>
      </c>
      <c r="C35" s="8" t="s">
        <v>32</v>
      </c>
      <c r="D35" s="7">
        <f>4+2+1+2</f>
        <v>9</v>
      </c>
      <c r="E35" s="7">
        <f>6536.77+3268.37+6529.46+12403.81</f>
        <v>28738.409999999996</v>
      </c>
      <c r="F35" s="4"/>
    </row>
    <row r="36" spans="1:6" s="1" customFormat="1" ht="31.5" x14ac:dyDescent="0.25">
      <c r="A36" s="7">
        <v>7</v>
      </c>
      <c r="B36" s="8" t="s">
        <v>67</v>
      </c>
      <c r="C36" s="8" t="s">
        <v>32</v>
      </c>
      <c r="D36" s="7">
        <f>1+7+6+3+1</f>
        <v>18</v>
      </c>
      <c r="E36" s="7">
        <f>3330.07+9717.75+19435.54+22154.06+3164.86</f>
        <v>57802.28</v>
      </c>
      <c r="F36" s="4"/>
    </row>
    <row r="37" spans="1:6" s="1" customFormat="1" ht="31.5" x14ac:dyDescent="0.25">
      <c r="A37" s="7">
        <v>8</v>
      </c>
      <c r="B37" s="8" t="s">
        <v>40</v>
      </c>
      <c r="C37" s="8" t="s">
        <v>32</v>
      </c>
      <c r="D37" s="7">
        <f>2+4+2+3+2+2</f>
        <v>15</v>
      </c>
      <c r="E37" s="7">
        <f>6763.91+6807.38+10211.05+1047+6632.55+13265.16+6488.74</f>
        <v>51215.79</v>
      </c>
      <c r="F37" s="4"/>
    </row>
    <row r="38" spans="1:6" s="1" customFormat="1" ht="47.25" x14ac:dyDescent="0.25">
      <c r="A38" s="7">
        <v>9</v>
      </c>
      <c r="B38" s="8" t="s">
        <v>69</v>
      </c>
      <c r="C38" s="8" t="s">
        <v>12</v>
      </c>
      <c r="D38" s="7">
        <f>0.02+0.01</f>
        <v>0.03</v>
      </c>
      <c r="E38" s="7">
        <f>728.57+2094.02+1430.46</f>
        <v>4253.05</v>
      </c>
      <c r="F38" s="4"/>
    </row>
    <row r="39" spans="1:6" s="1" customFormat="1" ht="47.25" x14ac:dyDescent="0.25">
      <c r="A39" s="7">
        <v>10</v>
      </c>
      <c r="B39" s="8" t="s">
        <v>70</v>
      </c>
      <c r="C39" s="8" t="s">
        <v>12</v>
      </c>
      <c r="D39" s="7">
        <f>0.045+0.09+0.03+0.02+0.01+0.02+0.01+0.03</f>
        <v>0.255</v>
      </c>
      <c r="E39" s="7">
        <f>3141.03+1047+2094.02+3088.28+9264.83+4647.08</f>
        <v>23282.240000000005</v>
      </c>
      <c r="F39" s="4"/>
    </row>
    <row r="40" spans="1:6" s="1" customFormat="1" ht="47.25" x14ac:dyDescent="0.25">
      <c r="A40" s="7">
        <v>11</v>
      </c>
      <c r="B40" s="8" t="s">
        <v>79</v>
      </c>
      <c r="C40" s="8" t="s">
        <v>12</v>
      </c>
      <c r="D40" s="7">
        <f>0.02+0.15</f>
        <v>0.16999999999999998</v>
      </c>
      <c r="E40" s="7">
        <f>11188.46+2715.26</f>
        <v>13903.72</v>
      </c>
      <c r="F40" s="4"/>
    </row>
    <row r="41" spans="1:6" s="1" customFormat="1" ht="15.75" x14ac:dyDescent="0.25">
      <c r="A41" s="7">
        <v>12</v>
      </c>
      <c r="B41" s="8" t="s">
        <v>75</v>
      </c>
      <c r="C41" s="8" t="s">
        <v>13</v>
      </c>
      <c r="D41" s="7">
        <f>0.01</f>
        <v>0.01</v>
      </c>
      <c r="E41" s="7">
        <f>419.82</f>
        <v>419.82</v>
      </c>
      <c r="F41" s="4"/>
    </row>
    <row r="42" spans="1:6" s="1" customFormat="1" ht="15.75" x14ac:dyDescent="0.25">
      <c r="A42" s="7">
        <v>13</v>
      </c>
      <c r="B42" s="8" t="s">
        <v>76</v>
      </c>
      <c r="C42" s="8" t="s">
        <v>77</v>
      </c>
      <c r="D42" s="7">
        <f>0.009</f>
        <v>8.9999999999999993E-3</v>
      </c>
      <c r="E42" s="7">
        <f>539.62</f>
        <v>539.62</v>
      </c>
      <c r="F42" s="4"/>
    </row>
    <row r="43" spans="1:6" s="1" customFormat="1" ht="94.5" x14ac:dyDescent="0.25">
      <c r="A43" s="7">
        <v>14</v>
      </c>
      <c r="B43" s="8" t="s">
        <v>65</v>
      </c>
      <c r="C43" s="8" t="s">
        <v>66</v>
      </c>
      <c r="D43" s="7">
        <f>0.005+0.025+0.17+0.03+0.02+0.015</f>
        <v>0.26500000000000001</v>
      </c>
      <c r="E43" s="7">
        <f>946.31+1261.75+1863.32+10642.13+313.01+1565.03</f>
        <v>16591.55</v>
      </c>
      <c r="F43" s="4"/>
    </row>
    <row r="44" spans="1:6" s="1" customFormat="1" ht="78.75" x14ac:dyDescent="0.25">
      <c r="A44" s="7">
        <v>15</v>
      </c>
      <c r="B44" s="8" t="s">
        <v>96</v>
      </c>
      <c r="C44" s="8" t="s">
        <v>14</v>
      </c>
      <c r="D44" s="7">
        <f>0.56+0.782+0.355</f>
        <v>1.6970000000000001</v>
      </c>
      <c r="E44" s="7">
        <f>7279.74+16198.71+11483.52</f>
        <v>34961.97</v>
      </c>
      <c r="F44" s="4"/>
    </row>
    <row r="45" spans="1:6" s="1" customFormat="1" ht="78.75" x14ac:dyDescent="0.25">
      <c r="A45" s="7">
        <v>16</v>
      </c>
      <c r="B45" s="8" t="s">
        <v>49</v>
      </c>
      <c r="C45" s="8" t="s">
        <v>14</v>
      </c>
      <c r="D45" s="7">
        <f>0.04+0.04</f>
        <v>0.08</v>
      </c>
      <c r="E45" s="7">
        <f>330.15+330.15</f>
        <v>660.3</v>
      </c>
      <c r="F45" s="4"/>
    </row>
    <row r="46" spans="1:6" s="1" customFormat="1" ht="78.75" x14ac:dyDescent="0.25">
      <c r="A46" s="7">
        <v>17</v>
      </c>
      <c r="B46" s="8" t="s">
        <v>97</v>
      </c>
      <c r="C46" s="8" t="s">
        <v>14</v>
      </c>
      <c r="D46" s="7">
        <f>0.724+2.016+1.723</f>
        <v>4.4630000000000001</v>
      </c>
      <c r="E46" s="7">
        <f>29177.13+55485.11+12260.15</f>
        <v>96922.39</v>
      </c>
      <c r="F46" s="4"/>
    </row>
    <row r="47" spans="1:6" s="1" customFormat="1" ht="78.75" x14ac:dyDescent="0.25">
      <c r="A47" s="7">
        <v>18</v>
      </c>
      <c r="B47" s="8" t="s">
        <v>115</v>
      </c>
      <c r="C47" s="8" t="s">
        <v>14</v>
      </c>
      <c r="D47" s="7">
        <f>0.086</f>
        <v>8.5999999999999993E-2</v>
      </c>
      <c r="E47" s="7">
        <f>2582.33</f>
        <v>2582.33</v>
      </c>
      <c r="F47" s="4"/>
    </row>
    <row r="48" spans="1:6" s="1" customFormat="1" ht="78.75" x14ac:dyDescent="0.25">
      <c r="A48" s="7">
        <v>19</v>
      </c>
      <c r="B48" s="15" t="s">
        <v>44</v>
      </c>
      <c r="C48" s="8" t="s">
        <v>14</v>
      </c>
      <c r="D48" s="7">
        <f>0.112+0.212</f>
        <v>0.32400000000000001</v>
      </c>
      <c r="E48" s="7">
        <f>5231.05+2778.12</f>
        <v>8009.17</v>
      </c>
      <c r="F48" s="4"/>
    </row>
    <row r="49" spans="1:6" s="1" customFormat="1" ht="78.75" x14ac:dyDescent="0.25">
      <c r="A49" s="7">
        <v>20</v>
      </c>
      <c r="B49" s="15" t="s">
        <v>45</v>
      </c>
      <c r="C49" s="8" t="s">
        <v>14</v>
      </c>
      <c r="D49" s="7">
        <f>0.062+0.056+0.168</f>
        <v>0.28600000000000003</v>
      </c>
      <c r="E49" s="7">
        <f>2297.32+8859.05+1914.82+1148.66</f>
        <v>14219.849999999999</v>
      </c>
      <c r="F49" s="4"/>
    </row>
    <row r="50" spans="1:6" s="1" customFormat="1" ht="78.75" x14ac:dyDescent="0.25">
      <c r="A50" s="7">
        <v>21</v>
      </c>
      <c r="B50" s="15" t="s">
        <v>98</v>
      </c>
      <c r="C50" s="8" t="s">
        <v>14</v>
      </c>
      <c r="D50" s="7">
        <f>0.032+0.069+0.052+0.112</f>
        <v>0.26500000000000001</v>
      </c>
      <c r="E50" s="7">
        <f>2412.72+2654.07+1484.74</f>
        <v>6551.53</v>
      </c>
      <c r="F50" s="4"/>
    </row>
    <row r="51" spans="1:6" s="1" customFormat="1" ht="78.75" x14ac:dyDescent="0.25">
      <c r="A51" s="7">
        <v>22</v>
      </c>
      <c r="B51" s="15" t="s">
        <v>111</v>
      </c>
      <c r="C51" s="8" t="s">
        <v>14</v>
      </c>
      <c r="D51" s="7">
        <f>0.048</f>
        <v>4.8000000000000001E-2</v>
      </c>
      <c r="E51" s="7">
        <f>919.21</f>
        <v>919.21</v>
      </c>
      <c r="F51" s="4"/>
    </row>
    <row r="52" spans="1:6" s="1" customFormat="1" ht="78.75" x14ac:dyDescent="0.25">
      <c r="A52" s="7">
        <v>23</v>
      </c>
      <c r="B52" s="15" t="s">
        <v>99</v>
      </c>
      <c r="C52" s="8" t="s">
        <v>14</v>
      </c>
      <c r="D52" s="7">
        <f>0.045</f>
        <v>4.4999999999999998E-2</v>
      </c>
      <c r="E52" s="7">
        <f>653+1546.57</f>
        <v>2199.5699999999997</v>
      </c>
      <c r="F52" s="4"/>
    </row>
    <row r="53" spans="1:6" s="1" customFormat="1" ht="78.75" x14ac:dyDescent="0.25">
      <c r="A53" s="7">
        <v>24</v>
      </c>
      <c r="B53" s="15" t="s">
        <v>50</v>
      </c>
      <c r="C53" s="8" t="s">
        <v>14</v>
      </c>
      <c r="D53" s="7">
        <f>0.168+0.019</f>
        <v>0.187</v>
      </c>
      <c r="E53" s="7">
        <f>2984.3</f>
        <v>2984.3</v>
      </c>
      <c r="F53" s="4"/>
    </row>
    <row r="54" spans="1:6" ht="78.75" x14ac:dyDescent="0.25">
      <c r="A54" s="7">
        <v>25</v>
      </c>
      <c r="B54" s="8" t="s">
        <v>35</v>
      </c>
      <c r="C54" s="8" t="s">
        <v>14</v>
      </c>
      <c r="D54" s="7">
        <f>0.13+0.034+0.023+0.046</f>
        <v>0.23299999999999998</v>
      </c>
      <c r="E54" s="7">
        <f>1553.47+776.74+1148.21+4390.25</f>
        <v>7868.67</v>
      </c>
      <c r="F54" s="4"/>
    </row>
    <row r="55" spans="1:6" s="1" customFormat="1" ht="31.5" x14ac:dyDescent="0.25">
      <c r="A55" s="7">
        <v>26</v>
      </c>
      <c r="B55" s="8" t="s">
        <v>100</v>
      </c>
      <c r="C55" s="8" t="s">
        <v>34</v>
      </c>
      <c r="D55" s="7">
        <f>0.264+0.676</f>
        <v>0.94000000000000006</v>
      </c>
      <c r="E55" s="7">
        <f>21913.53+8557.95</f>
        <v>30471.48</v>
      </c>
      <c r="F55" s="4"/>
    </row>
    <row r="56" spans="1:6" s="1" customFormat="1" ht="31.5" x14ac:dyDescent="0.25">
      <c r="A56" s="7">
        <v>27</v>
      </c>
      <c r="B56" s="8" t="s">
        <v>101</v>
      </c>
      <c r="C56" s="8" t="s">
        <v>85</v>
      </c>
      <c r="D56" s="7">
        <f>0.264+0.676</f>
        <v>0.94000000000000006</v>
      </c>
      <c r="E56" s="7">
        <f>64859.15+25329.61</f>
        <v>90188.760000000009</v>
      </c>
      <c r="F56" s="4"/>
    </row>
    <row r="57" spans="1:6" s="1" customFormat="1" ht="47.25" x14ac:dyDescent="0.25">
      <c r="A57" s="7">
        <v>28</v>
      </c>
      <c r="B57" s="8" t="s">
        <v>102</v>
      </c>
      <c r="C57" s="8" t="s">
        <v>103</v>
      </c>
      <c r="D57" s="7">
        <f>0.028+0.116</f>
        <v>0.14400000000000002</v>
      </c>
      <c r="E57" s="7">
        <f>1742.9+420.69</f>
        <v>2163.59</v>
      </c>
      <c r="F57" s="4"/>
    </row>
    <row r="58" spans="1:6" s="1" customFormat="1" ht="31.5" x14ac:dyDescent="0.25">
      <c r="A58" s="7">
        <v>29</v>
      </c>
      <c r="B58" s="8" t="s">
        <v>104</v>
      </c>
      <c r="C58" s="8" t="s">
        <v>105</v>
      </c>
      <c r="D58" s="7">
        <f>0.01+0.03+0.02</f>
        <v>0.06</v>
      </c>
      <c r="E58" s="7">
        <f>1572.79+2359.17+786.38</f>
        <v>4718.34</v>
      </c>
      <c r="F58" s="4"/>
    </row>
    <row r="59" spans="1:6" s="1" customFormat="1" ht="78.75" x14ac:dyDescent="0.25">
      <c r="A59" s="7">
        <v>30</v>
      </c>
      <c r="B59" s="8" t="s">
        <v>106</v>
      </c>
      <c r="C59" s="8" t="s">
        <v>107</v>
      </c>
      <c r="D59" s="7">
        <f>0.01+0.05+0.02</f>
        <v>0.08</v>
      </c>
      <c r="E59" s="7">
        <f>385.3+966.53+192.65</f>
        <v>1544.48</v>
      </c>
      <c r="F59" s="4"/>
    </row>
    <row r="60" spans="1:6" s="1" customFormat="1" ht="47.25" x14ac:dyDescent="0.25">
      <c r="A60" s="7">
        <v>31</v>
      </c>
      <c r="B60" s="8" t="s">
        <v>108</v>
      </c>
      <c r="C60" s="8" t="s">
        <v>109</v>
      </c>
      <c r="D60" s="7">
        <f>0.028+0.116+0.056</f>
        <v>0.2</v>
      </c>
      <c r="E60" s="7">
        <f>11158.18+20247.04+5579.09</f>
        <v>36984.31</v>
      </c>
      <c r="F60" s="4"/>
    </row>
    <row r="61" spans="1:6" s="1" customFormat="1" ht="63" x14ac:dyDescent="0.25">
      <c r="A61" s="7">
        <v>32</v>
      </c>
      <c r="B61" s="8" t="s">
        <v>112</v>
      </c>
      <c r="C61" s="8" t="s">
        <v>113</v>
      </c>
      <c r="D61" s="7">
        <f>0.116</f>
        <v>0.11600000000000001</v>
      </c>
      <c r="E61" s="7">
        <f>52.68</f>
        <v>52.68</v>
      </c>
      <c r="F61" s="4"/>
    </row>
    <row r="62" spans="1:6" s="1" customFormat="1" ht="78.75" x14ac:dyDescent="0.25">
      <c r="A62" s="7">
        <v>33</v>
      </c>
      <c r="B62" s="15" t="s">
        <v>51</v>
      </c>
      <c r="C62" s="8" t="s">
        <v>14</v>
      </c>
      <c r="D62" s="7">
        <f>0.056+0.116+0.027+0.145</f>
        <v>0.34399999999999997</v>
      </c>
      <c r="E62" s="7">
        <f>1257.04+5025.64+986.18+4020.51+252.18+523.04</f>
        <v>12064.59</v>
      </c>
      <c r="F62" s="4"/>
    </row>
    <row r="63" spans="1:6" s="1" customFormat="1" ht="15.75" x14ac:dyDescent="0.25">
      <c r="A63" s="7">
        <v>34</v>
      </c>
      <c r="B63" s="15" t="s">
        <v>116</v>
      </c>
      <c r="C63" s="8" t="s">
        <v>33</v>
      </c>
      <c r="D63" s="7">
        <f>12</f>
        <v>12</v>
      </c>
      <c r="E63" s="7">
        <f>5045.81+14326.56</f>
        <v>19372.37</v>
      </c>
      <c r="F63" s="4"/>
    </row>
    <row r="64" spans="1:6" s="1" customFormat="1" ht="78.75" x14ac:dyDescent="0.25">
      <c r="A64" s="7">
        <v>35</v>
      </c>
      <c r="B64" s="15" t="s">
        <v>93</v>
      </c>
      <c r="C64" s="8" t="s">
        <v>94</v>
      </c>
      <c r="D64" s="7">
        <f>0.538</f>
        <v>0.53800000000000003</v>
      </c>
      <c r="E64" s="7">
        <f>2145.03</f>
        <v>2145.0300000000002</v>
      </c>
      <c r="F64" s="4"/>
    </row>
    <row r="65" spans="1:6" s="1" customFormat="1" ht="78.75" x14ac:dyDescent="0.25">
      <c r="A65" s="7">
        <v>36</v>
      </c>
      <c r="B65" s="15" t="s">
        <v>95</v>
      </c>
      <c r="C65" s="8" t="s">
        <v>14</v>
      </c>
      <c r="D65" s="7">
        <f>0.538</f>
        <v>0.53800000000000003</v>
      </c>
      <c r="E65" s="7">
        <f>13141.54</f>
        <v>13141.54</v>
      </c>
      <c r="F65" s="4"/>
    </row>
    <row r="66" spans="1:6" s="1" customFormat="1" ht="78.75" x14ac:dyDescent="0.25">
      <c r="A66" s="7">
        <v>37</v>
      </c>
      <c r="B66" s="15" t="s">
        <v>89</v>
      </c>
      <c r="C66" s="8" t="s">
        <v>14</v>
      </c>
      <c r="D66" s="7">
        <f>0.3</f>
        <v>0.3</v>
      </c>
      <c r="E66" s="7">
        <f>2178.16</f>
        <v>2178.16</v>
      </c>
      <c r="F66" s="4"/>
    </row>
    <row r="67" spans="1:6" s="1" customFormat="1" ht="47.25" x14ac:dyDescent="0.25">
      <c r="A67" s="7">
        <v>38</v>
      </c>
      <c r="B67" s="8" t="s">
        <v>41</v>
      </c>
      <c r="C67" s="8" t="s">
        <v>34</v>
      </c>
      <c r="D67" s="7">
        <f>0.08+0.36</f>
        <v>0.44</v>
      </c>
      <c r="E67" s="7">
        <f>16087.7+3141.22</f>
        <v>19228.920000000002</v>
      </c>
      <c r="F67" s="4"/>
    </row>
    <row r="68" spans="1:6" s="1" customFormat="1" ht="47.25" x14ac:dyDescent="0.25">
      <c r="A68" s="7">
        <v>39</v>
      </c>
      <c r="B68" s="8" t="s">
        <v>47</v>
      </c>
      <c r="C68" s="8" t="s">
        <v>34</v>
      </c>
      <c r="D68" s="7">
        <f>0.07</f>
        <v>7.0000000000000007E-2</v>
      </c>
      <c r="E68" s="7">
        <f>3458.4</f>
        <v>3458.4</v>
      </c>
      <c r="F68" s="4"/>
    </row>
    <row r="69" spans="1:6" s="1" customFormat="1" ht="31.5" x14ac:dyDescent="0.25">
      <c r="A69" s="7">
        <v>40</v>
      </c>
      <c r="B69" s="8" t="s">
        <v>54</v>
      </c>
      <c r="C69" s="8" t="s">
        <v>55</v>
      </c>
      <c r="D69" s="7">
        <f>7</f>
        <v>7</v>
      </c>
      <c r="E69" s="7">
        <v>2039.14</v>
      </c>
      <c r="F69" s="4"/>
    </row>
    <row r="70" spans="1:6" s="1" customFormat="1" ht="31.5" x14ac:dyDescent="0.25">
      <c r="A70" s="7">
        <v>41</v>
      </c>
      <c r="B70" s="8" t="s">
        <v>56</v>
      </c>
      <c r="C70" s="8" t="s">
        <v>57</v>
      </c>
      <c r="D70" s="7">
        <v>7</v>
      </c>
      <c r="E70" s="7">
        <v>4638.37</v>
      </c>
      <c r="F70" s="4"/>
    </row>
    <row r="71" spans="1:6" s="1" customFormat="1" ht="31.5" x14ac:dyDescent="0.25">
      <c r="A71" s="7">
        <v>42</v>
      </c>
      <c r="B71" s="8" t="s">
        <v>58</v>
      </c>
      <c r="C71" s="8" t="s">
        <v>57</v>
      </c>
      <c r="D71" s="7">
        <f>7</f>
        <v>7</v>
      </c>
      <c r="E71" s="7">
        <v>4885.54</v>
      </c>
      <c r="F71" s="4"/>
    </row>
    <row r="72" spans="1:6" s="1" customFormat="1" ht="15.75" x14ac:dyDescent="0.25">
      <c r="A72" s="7">
        <v>43</v>
      </c>
      <c r="B72" s="8" t="s">
        <v>68</v>
      </c>
      <c r="C72" s="8" t="s">
        <v>13</v>
      </c>
      <c r="D72" s="7">
        <f>0.35</f>
        <v>0.35</v>
      </c>
      <c r="E72" s="7">
        <f>5307.29</f>
        <v>5307.29</v>
      </c>
      <c r="F72" s="4"/>
    </row>
    <row r="73" spans="1:6" s="1" customFormat="1" ht="31.5" x14ac:dyDescent="0.25">
      <c r="A73" s="7">
        <v>44</v>
      </c>
      <c r="B73" s="8" t="s">
        <v>28</v>
      </c>
      <c r="C73" s="8" t="s">
        <v>13</v>
      </c>
      <c r="D73" s="7">
        <f>0.1+0.13</f>
        <v>0.23</v>
      </c>
      <c r="E73" s="7">
        <f>8210.71+6602.07</f>
        <v>14812.779999999999</v>
      </c>
      <c r="F73" s="4"/>
    </row>
    <row r="74" spans="1:6" s="1" customFormat="1" ht="15.75" x14ac:dyDescent="0.25">
      <c r="A74" s="7">
        <v>45</v>
      </c>
      <c r="B74" s="8" t="s">
        <v>48</v>
      </c>
      <c r="C74" s="8" t="s">
        <v>30</v>
      </c>
      <c r="D74" s="7">
        <f>1.3+2.25+1.7+0.1+0.08+0.21+0.1+0.2</f>
        <v>5.9399999999999995</v>
      </c>
      <c r="E74" s="7">
        <f>2093.02+1046.53+2131.36+792.34+990.42+16837.22+18874.69+2975.81+10905.38+2521</f>
        <v>59167.77</v>
      </c>
      <c r="F74" s="4"/>
    </row>
    <row r="75" spans="1:6" s="1" customFormat="1" ht="15.75" x14ac:dyDescent="0.25">
      <c r="A75" s="7">
        <v>46</v>
      </c>
      <c r="B75" s="8" t="s">
        <v>61</v>
      </c>
      <c r="C75" s="8" t="s">
        <v>30</v>
      </c>
      <c r="D75" s="7">
        <f>0.9+2+1.7+0.1+0.08</f>
        <v>4.7799999999999994</v>
      </c>
      <c r="E75" s="7">
        <f>648.24+99.1+810.3+123.87+13775.02+2105.77+15803.58+2596.24+7111.61+1168.31</f>
        <v>44242.039999999994</v>
      </c>
      <c r="F75" s="4"/>
    </row>
    <row r="76" spans="1:6" s="1" customFormat="1" ht="15.75" x14ac:dyDescent="0.25">
      <c r="A76" s="7">
        <v>47</v>
      </c>
      <c r="B76" s="8" t="s">
        <v>90</v>
      </c>
      <c r="C76" s="8" t="s">
        <v>13</v>
      </c>
      <c r="D76" s="7">
        <f>0.03</f>
        <v>0.03</v>
      </c>
      <c r="E76" s="7">
        <f>1960.86</f>
        <v>1960.86</v>
      </c>
      <c r="F76" s="4"/>
    </row>
    <row r="77" spans="1:6" s="1" customFormat="1" ht="31.5" x14ac:dyDescent="0.25">
      <c r="A77" s="7">
        <v>48</v>
      </c>
      <c r="B77" s="8" t="s">
        <v>62</v>
      </c>
      <c r="C77" s="8" t="s">
        <v>64</v>
      </c>
      <c r="D77" s="7">
        <f>0.01+0.01</f>
        <v>0.02</v>
      </c>
      <c r="E77" s="7">
        <f>343.39+74.54+167.75+36.08</f>
        <v>621.7600000000001</v>
      </c>
      <c r="F77" s="4"/>
    </row>
    <row r="78" spans="1:6" s="1" customFormat="1" ht="15.75" x14ac:dyDescent="0.25">
      <c r="A78" s="7">
        <v>49</v>
      </c>
      <c r="B78" s="8" t="s">
        <v>29</v>
      </c>
      <c r="C78" s="8" t="s">
        <v>13</v>
      </c>
      <c r="D78" s="7">
        <f>0.02</f>
        <v>0.02</v>
      </c>
      <c r="E78" s="7">
        <f>292.33</f>
        <v>292.33</v>
      </c>
      <c r="F78" s="4"/>
    </row>
    <row r="79" spans="1:6" s="1" customFormat="1" ht="31.5" x14ac:dyDescent="0.25">
      <c r="A79" s="7">
        <v>50</v>
      </c>
      <c r="B79" s="8" t="s">
        <v>63</v>
      </c>
      <c r="C79" s="8" t="s">
        <v>64</v>
      </c>
      <c r="D79" s="7">
        <f>0.01+0.01+0.05</f>
        <v>7.0000000000000007E-2</v>
      </c>
      <c r="E79" s="7">
        <f>710.23+142.04+46.89+135.87+35.68</f>
        <v>1070.71</v>
      </c>
      <c r="F79" s="4"/>
    </row>
    <row r="80" spans="1:6" s="1" customFormat="1" ht="31.5" x14ac:dyDescent="0.25">
      <c r="A80" s="7">
        <v>51</v>
      </c>
      <c r="B80" s="8" t="s">
        <v>92</v>
      </c>
      <c r="C80" s="8" t="s">
        <v>13</v>
      </c>
      <c r="D80" s="7">
        <f>0.05</f>
        <v>0.05</v>
      </c>
      <c r="E80" s="7">
        <f>12350.05</f>
        <v>12350.05</v>
      </c>
      <c r="F80" s="4"/>
    </row>
    <row r="81" spans="1:6" s="1" customFormat="1" ht="31.5" x14ac:dyDescent="0.25">
      <c r="A81" s="7">
        <v>52</v>
      </c>
      <c r="B81" s="8" t="s">
        <v>82</v>
      </c>
      <c r="C81" s="8" t="s">
        <v>83</v>
      </c>
      <c r="D81" s="7">
        <f>0.013</f>
        <v>1.2999999999999999E-2</v>
      </c>
      <c r="E81" s="7">
        <f>270.92</f>
        <v>270.92</v>
      </c>
      <c r="F81" s="4"/>
    </row>
    <row r="82" spans="1:6" s="1" customFormat="1" ht="15.75" x14ac:dyDescent="0.25">
      <c r="A82" s="7">
        <v>53</v>
      </c>
      <c r="B82" s="8" t="s">
        <v>91</v>
      </c>
      <c r="C82" s="8" t="s">
        <v>30</v>
      </c>
      <c r="D82" s="7">
        <f>0.21+0.22+0.49</f>
        <v>0.91999999999999993</v>
      </c>
      <c r="E82" s="7">
        <f>4698.81+2109.67+1891.56+122.22</f>
        <v>8822.26</v>
      </c>
      <c r="F82" s="4"/>
    </row>
    <row r="83" spans="1:6" s="1" customFormat="1" ht="94.5" x14ac:dyDescent="0.25">
      <c r="A83" s="7">
        <v>54</v>
      </c>
      <c r="B83" s="8" t="s">
        <v>80</v>
      </c>
      <c r="C83" s="8" t="s">
        <v>81</v>
      </c>
      <c r="D83" s="7">
        <f>1.706+4.71+4.925+7.549+0.62</f>
        <v>19.510000000000002</v>
      </c>
      <c r="E83" s="7">
        <f>31841+386924.66+247436.49+236634.71+85711</f>
        <v>988547.85999999987</v>
      </c>
      <c r="F83" s="4"/>
    </row>
    <row r="84" spans="1:6" s="1" customFormat="1" ht="31.5" x14ac:dyDescent="0.25">
      <c r="A84" s="7">
        <v>55</v>
      </c>
      <c r="B84" s="8" t="s">
        <v>86</v>
      </c>
      <c r="C84" s="8" t="s">
        <v>87</v>
      </c>
      <c r="D84" s="7">
        <f>0.3</f>
        <v>0.3</v>
      </c>
      <c r="E84" s="7">
        <f>18796.63+40134.04</f>
        <v>58930.67</v>
      </c>
      <c r="F84" s="4"/>
    </row>
    <row r="85" spans="1:6" s="1" customFormat="1" ht="15.75" x14ac:dyDescent="0.25">
      <c r="A85" s="7">
        <v>56</v>
      </c>
      <c r="B85" s="8" t="s">
        <v>84</v>
      </c>
      <c r="C85" s="8" t="s">
        <v>85</v>
      </c>
      <c r="D85" s="7">
        <v>0.83399999999999996</v>
      </c>
      <c r="E85" s="7">
        <f>27578.27+14092.96</f>
        <v>41671.229999999996</v>
      </c>
      <c r="F85" s="4"/>
    </row>
    <row r="86" spans="1:6" s="1" customFormat="1" ht="31.5" x14ac:dyDescent="0.25">
      <c r="A86" s="7">
        <v>57</v>
      </c>
      <c r="B86" s="8" t="s">
        <v>114</v>
      </c>
      <c r="C86" s="8" t="s">
        <v>33</v>
      </c>
      <c r="D86" s="7">
        <f>10</f>
        <v>10</v>
      </c>
      <c r="E86" s="7">
        <f>100000</f>
        <v>100000</v>
      </c>
      <c r="F86" s="4"/>
    </row>
    <row r="87" spans="1:6" s="1" customFormat="1" ht="31.5" x14ac:dyDescent="0.25">
      <c r="A87" s="7">
        <v>58</v>
      </c>
      <c r="B87" s="8" t="s">
        <v>119</v>
      </c>
      <c r="C87" s="8" t="s">
        <v>120</v>
      </c>
      <c r="D87" s="7">
        <v>310</v>
      </c>
      <c r="E87" s="7">
        <v>4519.8</v>
      </c>
      <c r="F87" s="4"/>
    </row>
    <row r="88" spans="1:6" s="1" customFormat="1" ht="47.25" x14ac:dyDescent="0.25">
      <c r="A88" s="7">
        <v>59</v>
      </c>
      <c r="B88" s="8" t="s">
        <v>121</v>
      </c>
      <c r="C88" s="8" t="s">
        <v>43</v>
      </c>
      <c r="D88" s="7">
        <f>20+120</f>
        <v>140</v>
      </c>
      <c r="E88" s="7">
        <f>17552.2+105313.2</f>
        <v>122865.4</v>
      </c>
      <c r="F88" s="4"/>
    </row>
    <row r="89" spans="1:6" s="1" customFormat="1" ht="15.75" x14ac:dyDescent="0.25">
      <c r="A89" s="7"/>
      <c r="B89" s="8"/>
      <c r="C89" s="8"/>
      <c r="D89" s="7"/>
      <c r="E89" s="13">
        <f>SUM(E30:E88)</f>
        <v>2216902.8800000004</v>
      </c>
      <c r="F89" s="4"/>
    </row>
    <row r="90" spans="1:6" ht="15.75" x14ac:dyDescent="0.25">
      <c r="A90" s="7"/>
      <c r="B90" s="8" t="s">
        <v>9</v>
      </c>
      <c r="C90" s="7"/>
      <c r="D90" s="7"/>
      <c r="E90" s="9">
        <f>E28+E89</f>
        <v>3999917.9600000009</v>
      </c>
      <c r="F90" s="4"/>
    </row>
    <row r="91" spans="1:6" ht="15.75" x14ac:dyDescent="0.25">
      <c r="A91" s="7"/>
      <c r="B91" s="8"/>
      <c r="C91" s="7"/>
      <c r="D91" s="7"/>
      <c r="E91" s="7"/>
      <c r="F91" s="4"/>
    </row>
    <row r="92" spans="1:6" ht="15.75" x14ac:dyDescent="0.25">
      <c r="A92" s="10"/>
      <c r="B92" s="10"/>
      <c r="C92" s="10"/>
      <c r="D92" s="10"/>
      <c r="E92" s="10"/>
      <c r="F92" s="4"/>
    </row>
    <row r="93" spans="1:6" ht="15.75" x14ac:dyDescent="0.25">
      <c r="A93" s="10"/>
      <c r="B93" s="10" t="s">
        <v>18</v>
      </c>
      <c r="C93" s="10" t="s">
        <v>19</v>
      </c>
      <c r="D93" s="10"/>
      <c r="E93" s="10"/>
      <c r="F93" s="1"/>
    </row>
    <row r="94" spans="1:6" x14ac:dyDescent="0.25">
      <c r="A94" s="2"/>
      <c r="B94" s="2"/>
      <c r="C94" s="2"/>
      <c r="D94" s="2"/>
      <c r="E94" s="2"/>
      <c r="F94" s="1"/>
    </row>
    <row r="95" spans="1:6" x14ac:dyDescent="0.25">
      <c r="A95" s="2"/>
      <c r="B95" s="2"/>
      <c r="C95" s="2"/>
      <c r="D95" s="2"/>
      <c r="E95" s="2"/>
      <c r="F95" s="1"/>
    </row>
    <row r="96" spans="1:6" x14ac:dyDescent="0.25">
      <c r="A96" s="2"/>
      <c r="B96" s="2" t="s">
        <v>20</v>
      </c>
      <c r="C96" s="2"/>
      <c r="D96" s="2"/>
      <c r="E96" s="2"/>
      <c r="F96" s="1"/>
    </row>
    <row r="97" spans="1:7" x14ac:dyDescent="0.25">
      <c r="A97" s="2"/>
      <c r="B97" s="2"/>
      <c r="C97" s="2"/>
      <c r="D97" s="2"/>
      <c r="E97" s="2"/>
      <c r="F97" s="14"/>
      <c r="G97" s="14"/>
    </row>
    <row r="98" spans="1:7" x14ac:dyDescent="0.25">
      <c r="A98" s="2"/>
      <c r="B98" s="2"/>
      <c r="C98" s="2"/>
      <c r="D98" s="2"/>
      <c r="E98" s="2"/>
    </row>
    <row r="99" spans="1:7" x14ac:dyDescent="0.25">
      <c r="A99" s="2"/>
      <c r="B99" s="2"/>
      <c r="C99" s="2"/>
      <c r="D99" s="2"/>
      <c r="E99" s="2"/>
      <c r="F99" s="14"/>
    </row>
    <row r="100" spans="1:7" x14ac:dyDescent="0.25">
      <c r="A100" s="2"/>
      <c r="B100" s="2"/>
      <c r="C100" s="2"/>
      <c r="D100" s="2"/>
      <c r="E100" s="2"/>
      <c r="G100" s="14"/>
    </row>
    <row r="101" spans="1:7" x14ac:dyDescent="0.25">
      <c r="A101" s="2"/>
      <c r="B101" s="2"/>
      <c r="C101" s="2"/>
      <c r="D101" s="2"/>
      <c r="E101" s="2"/>
    </row>
    <row r="102" spans="1:7" x14ac:dyDescent="0.25">
      <c r="A102" s="2"/>
      <c r="B102" s="2"/>
      <c r="C102" s="2"/>
      <c r="D102" s="2"/>
      <c r="E102" s="2"/>
    </row>
    <row r="103" spans="1:7" x14ac:dyDescent="0.25">
      <c r="A103" s="2"/>
      <c r="B103" s="2"/>
      <c r="C103" s="2"/>
      <c r="D103" s="2"/>
      <c r="E103" s="2"/>
    </row>
    <row r="104" spans="1:7" x14ac:dyDescent="0.25">
      <c r="A104" s="2"/>
      <c r="B104" s="2"/>
      <c r="C104" s="2"/>
      <c r="D104" s="2"/>
      <c r="E104" s="2"/>
    </row>
    <row r="105" spans="1:7" x14ac:dyDescent="0.25">
      <c r="A105" s="2"/>
      <c r="B105" s="2"/>
      <c r="C105" s="2"/>
      <c r="D105" s="2"/>
      <c r="E105" s="2"/>
    </row>
    <row r="106" spans="1:7" x14ac:dyDescent="0.25">
      <c r="A106" s="2"/>
      <c r="B106" s="2"/>
      <c r="C106" s="2"/>
      <c r="D106" s="2"/>
      <c r="E106" s="2"/>
    </row>
    <row r="107" spans="1:7" x14ac:dyDescent="0.25">
      <c r="A107" s="2"/>
      <c r="B107" s="2"/>
      <c r="C107" s="2"/>
      <c r="D107" s="2"/>
      <c r="E107" s="2"/>
    </row>
    <row r="108" spans="1:7" x14ac:dyDescent="0.25">
      <c r="A108" s="2"/>
      <c r="B108" s="2"/>
      <c r="C108" s="2"/>
      <c r="D108" s="2"/>
      <c r="E108" s="2"/>
    </row>
    <row r="109" spans="1:7" x14ac:dyDescent="0.25">
      <c r="A109" s="2"/>
      <c r="B109" s="2"/>
      <c r="C109" s="2"/>
      <c r="D109" s="2"/>
      <c r="E109" s="2"/>
    </row>
    <row r="110" spans="1:7" x14ac:dyDescent="0.25">
      <c r="A110" s="2"/>
      <c r="B110" s="2"/>
      <c r="C110" s="2"/>
      <c r="D110" s="2"/>
      <c r="E110" s="2"/>
    </row>
    <row r="111" spans="1:7" x14ac:dyDescent="0.25">
      <c r="A111" s="2"/>
      <c r="B111" s="2"/>
      <c r="C111" s="2"/>
      <c r="D111" s="2"/>
      <c r="E111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2018-02-19T13:38:28Z</cp:lastPrinted>
  <dcterms:created xsi:type="dcterms:W3CDTF">2016-09-29T06:37:31Z</dcterms:created>
  <dcterms:modified xsi:type="dcterms:W3CDTF">2018-02-21T09:00:30Z</dcterms:modified>
</cp:coreProperties>
</file>