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8" i="1" l="1"/>
  <c r="E87" i="1"/>
  <c r="E81" i="1" l="1"/>
  <c r="E15" i="1"/>
  <c r="E12" i="1"/>
  <c r="D12" i="1"/>
  <c r="E23" i="1"/>
  <c r="E24" i="1"/>
  <c r="D15" i="1"/>
  <c r="E13" i="1"/>
  <c r="D13" i="1"/>
  <c r="E26" i="1"/>
  <c r="D26" i="1"/>
  <c r="E34" i="1"/>
  <c r="D34" i="1"/>
  <c r="E33" i="1"/>
  <c r="D33" i="1"/>
  <c r="E31" i="1"/>
  <c r="D31" i="1"/>
  <c r="E14" i="1"/>
  <c r="D14" i="1"/>
  <c r="E11" i="1"/>
  <c r="D11" i="1"/>
  <c r="E25" i="1"/>
  <c r="D25" i="1"/>
  <c r="E32" i="1"/>
  <c r="D32" i="1"/>
  <c r="E27" i="1"/>
  <c r="D27" i="1"/>
  <c r="E22" i="1"/>
  <c r="D22" i="1"/>
  <c r="E21" i="1"/>
  <c r="D21" i="1"/>
  <c r="D16" i="1"/>
  <c r="E20" i="1"/>
  <c r="D20" i="1"/>
  <c r="E19" i="1"/>
  <c r="D19" i="1"/>
  <c r="E18" i="1"/>
  <c r="D18" i="1"/>
  <c r="D24" i="1"/>
  <c r="E28" i="1"/>
  <c r="D28" i="1"/>
  <c r="D23" i="1"/>
  <c r="E30" i="1"/>
  <c r="D30" i="1"/>
  <c r="E29" i="1"/>
  <c r="D29" i="1"/>
  <c r="E10" i="1"/>
  <c r="D10" i="1"/>
  <c r="E64" i="1" l="1"/>
  <c r="E58" i="1"/>
  <c r="E57" i="1"/>
  <c r="D57" i="1"/>
  <c r="E56" i="1"/>
  <c r="D56" i="1"/>
  <c r="E68" i="1"/>
  <c r="D68" i="1"/>
  <c r="E66" i="1"/>
  <c r="D66" i="1"/>
  <c r="E67" i="1"/>
  <c r="D67" i="1"/>
  <c r="E65" i="1"/>
  <c r="D65" i="1"/>
  <c r="D64" i="1"/>
  <c r="E63" i="1"/>
  <c r="D63" i="1"/>
  <c r="E60" i="1"/>
  <c r="D60" i="1"/>
  <c r="E59" i="1"/>
  <c r="D59" i="1"/>
  <c r="E62" i="1"/>
  <c r="D62" i="1"/>
  <c r="E61" i="1"/>
  <c r="D61" i="1"/>
  <c r="E39" i="1"/>
  <c r="E37" i="1"/>
  <c r="D37" i="1"/>
  <c r="D39" i="1"/>
  <c r="E77" i="1"/>
  <c r="E79" i="1"/>
  <c r="D79" i="1"/>
  <c r="E73" i="1"/>
  <c r="D73" i="1"/>
  <c r="E74" i="1"/>
  <c r="D74" i="1"/>
  <c r="E70" i="1"/>
  <c r="D70" i="1"/>
  <c r="E72" i="1"/>
  <c r="D72" i="1"/>
  <c r="E76" i="1"/>
  <c r="D76" i="1"/>
  <c r="E71" i="1"/>
  <c r="E69" i="1"/>
  <c r="D69" i="1"/>
  <c r="E78" i="1"/>
  <c r="D78" i="1"/>
  <c r="D75" i="1"/>
  <c r="E54" i="1"/>
  <c r="D54" i="1"/>
  <c r="E53" i="1"/>
  <c r="D53" i="1"/>
  <c r="E47" i="1"/>
  <c r="D47" i="1"/>
  <c r="E85" i="1"/>
  <c r="E84" i="1"/>
  <c r="E83" i="1"/>
  <c r="D83" i="1"/>
  <c r="E51" i="1"/>
  <c r="E50" i="1"/>
  <c r="E48" i="1"/>
  <c r="D48" i="1"/>
  <c r="E49" i="1"/>
  <c r="D49" i="1"/>
  <c r="E46" i="1"/>
  <c r="D46" i="1"/>
  <c r="E45" i="1"/>
  <c r="D45" i="1"/>
  <c r="E52" i="1"/>
  <c r="D52" i="1"/>
  <c r="E80" i="1" l="1"/>
  <c r="E86" i="1"/>
  <c r="E44" i="1"/>
  <c r="E43" i="1"/>
  <c r="E42" i="1" l="1"/>
  <c r="D42" i="1"/>
  <c r="E41" i="1"/>
  <c r="E40" i="1"/>
  <c r="E55" i="1"/>
  <c r="E82" i="1"/>
  <c r="E38" i="1"/>
  <c r="E35" i="1"/>
  <c r="E89" i="1" l="1"/>
</calcChain>
</file>

<file path=xl/sharedStrings.xml><?xml version="1.0" encoding="utf-8"?>
<sst xmlns="http://schemas.openxmlformats.org/spreadsheetml/2006/main" count="170" uniqueCount="129">
  <si>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</si>
  <si>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</si>
  <si>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</si>
  <si>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</si>
  <si>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</si>
  <si>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</si>
  <si>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</si>
  <si>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</si>
  <si>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1шт</t>
  </si>
  <si>
    <t>Смена ламп накаливания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</si>
  <si>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</si>
  <si>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</si>
  <si>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</si>
  <si>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</si>
  <si>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</si>
  <si>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</si>
  <si>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</si>
  <si>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</si>
  <si>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</si>
  <si>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</si>
  <si>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</si>
  <si>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</si>
  <si>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</si>
  <si>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>Установка манометров</t>
  </si>
  <si>
    <t>Установка термометров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</si>
  <si>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</si>
  <si>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</si>
  <si>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</si>
  <si>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</si>
  <si>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</si>
  <si>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</si>
  <si>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</si>
  <si>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</si>
  <si>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</si>
  <si>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100м  трубопровода</t>
  </si>
  <si>
    <t>Услуги трактора,экскаватора-погузчика,погрузка и вывоз снега со складированием</t>
  </si>
  <si>
    <t>м3</t>
  </si>
  <si>
    <t>Очистка канализационной сети дворовой</t>
  </si>
  <si>
    <t>10 фильтров</t>
  </si>
  <si>
    <t>1 врезка</t>
  </si>
  <si>
    <t>Смена сгонов у трубопроводов диам. до 32мм</t>
  </si>
  <si>
    <t>100 сгонов</t>
  </si>
  <si>
    <t>Усиление сварных швов</t>
  </si>
  <si>
    <t>1 м шва</t>
  </si>
  <si>
    <t>Смена ламп люминесцентных</t>
  </si>
  <si>
    <t>шт</t>
  </si>
  <si>
    <t>Покрытие поверхностей грунтовкой глубокого проникновения за 1 раз стен</t>
  </si>
  <si>
    <t>100м2 покрытия</t>
  </si>
  <si>
    <t>Окраска поливинилацетатными водоэмульсионными составами улучшенная по штукатурке стен</t>
  </si>
  <si>
    <t>Покрытие поверхностей грунтовкой глубокого проникновения за 1 раз потолков</t>
  </si>
  <si>
    <t>Окраска поливинилацетатными водоэмульсионными составами улучшенная по штукатурке потолков</t>
  </si>
  <si>
    <t>Улучшенная масляная окраска ранее окрашенных стен за один раз с расчисткой старой краски до 10%(сапожок)</t>
  </si>
  <si>
    <t>Улучшенная масляная окраска ранее окрашенных дверей  за два раза с расчисткой старой краски до 10%</t>
  </si>
  <si>
    <t>Окраска масляными составами ранее окрашенных поверхностей труб стальных за 2 раза</t>
  </si>
  <si>
    <t>имущества МКД, выполненных за 2017  года на жилом доме № 7</t>
  </si>
  <si>
    <t xml:space="preserve">                                        по улице 8 Марта</t>
  </si>
  <si>
    <t>Очистка канализационной сети внутренней</t>
  </si>
  <si>
    <t>100м3 воды</t>
  </si>
  <si>
    <t>Ремонт фекальных насосов</t>
  </si>
  <si>
    <t>Проверка на прогрев отопительных приборов с регулировкой</t>
  </si>
  <si>
    <t>100 приб.</t>
  </si>
  <si>
    <t>Слив и наполнение водой системы отопления без осмотра</t>
  </si>
  <si>
    <t>1000м3 объема здания</t>
  </si>
  <si>
    <t>Водоотлив из подвала ведрами</t>
  </si>
  <si>
    <t>Водоотлив из подвала электрическими насосами</t>
  </si>
  <si>
    <t>Смена дверных приборов замки навесные</t>
  </si>
  <si>
    <t>100шт приб.</t>
  </si>
  <si>
    <t>Смена трубопроводов из полиэтиленовых канализационных труб диам.100мм</t>
  </si>
  <si>
    <t>100м трубопровода с фасонными частями</t>
  </si>
  <si>
    <t>Демонтаж насоса</t>
  </si>
  <si>
    <t>Разработка грунта вручную</t>
  </si>
  <si>
    <t>100м3 грунта</t>
  </si>
  <si>
    <t>Укладка стальных водопроводных труб с пневматическим испытанием диам. 100мм</t>
  </si>
  <si>
    <t>1 км трубопровода</t>
  </si>
  <si>
    <t>Установка насоса</t>
  </si>
  <si>
    <t>Металлические конструкции</t>
  </si>
  <si>
    <t>т</t>
  </si>
  <si>
    <t>Пульт управления</t>
  </si>
  <si>
    <t>Разъединитель трехполюсный напряжением до 10 кВ,ток до 600А</t>
  </si>
  <si>
    <t>Прибор измерения и защиты,количество подключаемых концов до 6</t>
  </si>
  <si>
    <t>Провод магистралей,стояков и силовых сетей в готовых каналах</t>
  </si>
  <si>
    <t>100м трассы</t>
  </si>
  <si>
    <t>Автоматы одно-,двух-,трехполюсный,устанавливаемый на конструкции на стене или колонне, на ток до 100А</t>
  </si>
  <si>
    <t>Демонтаж элеваторов</t>
  </si>
  <si>
    <t>Установка элеваторов  после прочистки и ревизии</t>
  </si>
  <si>
    <t>10шт</t>
  </si>
  <si>
    <t>Ремонт задвижек диам.100мм без снятия с места</t>
  </si>
  <si>
    <t>Прочистка фильтров ГВС диам.80мм</t>
  </si>
  <si>
    <t>Установка рассеивателей</t>
  </si>
  <si>
    <t>Смена сгонов у трубопроводов диам. до 50мм</t>
  </si>
  <si>
    <t>Смена кранов на шаровые краны диам. 15,32мм</t>
  </si>
  <si>
    <t>Смена трехходовых кранов</t>
  </si>
  <si>
    <t>Врезка в действующие внутренние сети трубопроводов ЦО диам.15мм</t>
  </si>
  <si>
    <t>Врезка в действующие внутренние сети трубопроводов ЦО диам.32мм</t>
  </si>
  <si>
    <t>Рытье ям для установки стоек и столбов глубиной 0,4м</t>
  </si>
  <si>
    <t>100ям</t>
  </si>
  <si>
    <t>Бетонирование стоек</t>
  </si>
  <si>
    <t>100м3 бетона в деле</t>
  </si>
  <si>
    <t>Ремонт групповых щитков на лестничной клетке со сменой автоматов</t>
  </si>
  <si>
    <t>Смена внутренних трубопроводов из стальных труб диам. до 50мм</t>
  </si>
  <si>
    <t>Игровой комплекс</t>
  </si>
  <si>
    <t>Ремонт цементной стяжки площадью заделки до 1,0м2</t>
  </si>
  <si>
    <t>100 мест</t>
  </si>
  <si>
    <t>Смена существующих рулонных кровель на покрытия из наплавляемых рулонных материалов в 2 слоя</t>
  </si>
  <si>
    <t>Устройство примыканий рулонных и мастичных кровель к стенам и парапетам высотой до 600мм без фартука</t>
  </si>
  <si>
    <t>100м примыканий</t>
  </si>
  <si>
    <t>100м2 отремон.поверхности</t>
  </si>
  <si>
    <t>Ремонт штукатурки гладких фасадов по камню и бетону</t>
  </si>
  <si>
    <t>Улучшенная масляная окраска ранее окрашенных дверей  за два раза с расчисткой старой краски до 35%</t>
  </si>
  <si>
    <t>Улучшенная масляная окраска ранее окрашенных фасадов с расчисткой старой краски до 35%</t>
  </si>
  <si>
    <t>Покрытие поверхностей грунтовкой глубокого проникновения за 2 раза стен</t>
  </si>
  <si>
    <t xml:space="preserve">Огрунтовка ранее окрашенных фасадов под окраску перхлорвиниловыми красками </t>
  </si>
  <si>
    <t>100м2 отработанной поверхности</t>
  </si>
  <si>
    <t>Окраска масляными составами ранее окрашенных металлических оконных переплетов,санитарно-технических приборов и других металлических поверхностей площадью до 0,25м2 за 2  раза(электрические щитки)</t>
  </si>
  <si>
    <t>Окраска масляными составами ранее окрашенных металлических решеток и оград без рельефа за 2 раза</t>
  </si>
  <si>
    <t>Смена стекол</t>
  </si>
  <si>
    <t>100м2 остекления</t>
  </si>
  <si>
    <t>Смена дверных приборов пружины</t>
  </si>
  <si>
    <t>Смена дверных приборов ручки-скобы</t>
  </si>
  <si>
    <t>Смена существующих рулонных кровель на покрытия из наплавляемых рулонных материалов в 1 слой</t>
  </si>
  <si>
    <t>Окраска масляными составами ранее окрашенных поверхностей радиаторов и ребристых труб отопления за 2 раза</t>
  </si>
  <si>
    <t>Демонтаж дверных коробок</t>
  </si>
  <si>
    <t>Снятие дверных полотен</t>
  </si>
  <si>
    <t>100м2 дверных полотен</t>
  </si>
  <si>
    <t>Установка блоков в наружных и внутренних дверных дверных проемах в каменных стенах, площадью проема до 3м2</t>
  </si>
  <si>
    <t>100м2 проема</t>
  </si>
  <si>
    <t>,</t>
  </si>
  <si>
    <t>Механизированная уборка снега на придомовой территории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</si>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</sst>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workbookViewId="0">
      <selection activeCell="A95" sqref="A1:E9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26</v>
      </c>
      <c r="C3" s="3"/>
      <c r="D3" s="3"/>
      <c r="E3" s="3"/>
      <c r="F3" s="1"/>
    </row>
    <row r="4" spans="1:6" ht="15.75" x14ac:dyDescent="0.25">
      <c r="A4" s="4"/>
      <c r="B4" s="3" t="s">
        <v>54</v>
      </c>
      <c r="C4" s="3"/>
      <c r="D4" s="3"/>
      <c r="E4" s="3"/>
      <c r="F4" s="1"/>
    </row>
    <row r="5" spans="1:6" ht="15.75" x14ac:dyDescent="0.25">
      <c r="A5" s="4"/>
      <c r="B5" s="3" t="s">
        <v>55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12</v>
      </c>
      <c r="C9" s="6"/>
      <c r="D9" s="6"/>
      <c r="E9" s="6"/>
      <c r="F9" s="4"/>
    </row>
    <row r="10" spans="1:6" ht="15.75" x14ac:dyDescent="0.25">
      <c r="A10" s="7">
        <v>1</v>
      </c>
      <c r="B10" s="8" t="s">
        <v>9</v>
      </c>
      <c r="C10" s="8" t="s">
        <v>15</v>
      </c>
      <c r="D10" s="7">
        <f>0.02</f>
        <v>0.02</v>
      </c>
      <c r="E10" s="7">
        <f>73.83</f>
        <v>73.83</v>
      </c>
      <c r="F10" s="4"/>
    </row>
    <row r="11" spans="1:6" s="1" customFormat="1" ht="15.75" x14ac:dyDescent="0.25">
      <c r="A11" s="7">
        <v>2</v>
      </c>
      <c r="B11" s="8" t="s">
        <v>44</v>
      </c>
      <c r="C11" s="8" t="s">
        <v>15</v>
      </c>
      <c r="D11" s="7">
        <f>0.04+0.01+0.11+0.02+0.03+0.01</f>
        <v>0.22</v>
      </c>
      <c r="E11" s="7">
        <f>314.5+96.09+1056.89+192.15+293.59+97.87</f>
        <v>2051.09</v>
      </c>
      <c r="F11" s="4"/>
    </row>
    <row r="12" spans="1:6" ht="15.75" x14ac:dyDescent="0.25">
      <c r="A12" s="7">
        <v>3</v>
      </c>
      <c r="B12" s="8" t="s">
        <v>10</v>
      </c>
      <c r="C12" s="8" t="s">
        <v>15</v>
      </c>
      <c r="D12" s="7">
        <f>0.06+0.14+0.13+0.09+0.27+0.07+0.03+0.04+0.03+0.27+0.23+0.06</f>
        <v>1.4200000000000002</v>
      </c>
      <c r="E12" s="7">
        <f>357.76+552.06+2122.92+1971.29+1379.18+4137.56+1072.69+465.08+620.1+465.08+4185.74+3565.64+930.15</f>
        <v>21825.25</v>
      </c>
      <c r="F12" s="4"/>
    </row>
    <row r="13" spans="1:6" s="1" customFormat="1" ht="31.5" x14ac:dyDescent="0.25">
      <c r="A13" s="7">
        <v>4</v>
      </c>
      <c r="B13" s="8" t="s">
        <v>98</v>
      </c>
      <c r="C13" s="8" t="s">
        <v>15</v>
      </c>
      <c r="D13" s="7">
        <f>0.03+0.02+0.05</f>
        <v>0.1</v>
      </c>
      <c r="E13" s="7">
        <f>8615.84+5883.77+14709.45</f>
        <v>29209.06</v>
      </c>
      <c r="F13" s="4"/>
    </row>
    <row r="14" spans="1:6" s="1" customFormat="1" ht="15.75" x14ac:dyDescent="0.25">
      <c r="A14" s="7">
        <v>5</v>
      </c>
      <c r="B14" s="8" t="s">
        <v>88</v>
      </c>
      <c r="C14" s="8" t="s">
        <v>45</v>
      </c>
      <c r="D14" s="7">
        <f>4+10</f>
        <v>14</v>
      </c>
      <c r="E14" s="7">
        <f>1496.53+3741.34</f>
        <v>5237.87</v>
      </c>
      <c r="F14" s="4"/>
    </row>
    <row r="15" spans="1:6" s="1" customFormat="1" ht="47.25" x14ac:dyDescent="0.25">
      <c r="A15" s="7">
        <v>6</v>
      </c>
      <c r="B15" s="8" t="s">
        <v>31</v>
      </c>
      <c r="C15" s="8" t="s">
        <v>32</v>
      </c>
      <c r="D15" s="7">
        <f>0.27</f>
        <v>0.27</v>
      </c>
      <c r="E15" s="7">
        <f>1115.43+1115.43+1115.43+1145.48+1145.48+1178.85+1178.85+1178.85+1178.85+1178.85+1178.85</f>
        <v>12710.350000000002</v>
      </c>
      <c r="F15" s="4"/>
    </row>
    <row r="16" spans="1:6" ht="47.25" x14ac:dyDescent="0.25">
      <c r="A16" s="7">
        <v>7</v>
      </c>
      <c r="B16" s="8" t="s">
        <v>17</v>
      </c>
      <c r="C16" s="8" t="s">
        <v>14</v>
      </c>
      <c r="D16" s="7">
        <f>31.31</f>
        <v>31.31</v>
      </c>
      <c r="E16" s="7">
        <v>132145.24</v>
      </c>
      <c r="F16" s="4"/>
    </row>
    <row r="17" spans="1:6" ht="47.25" x14ac:dyDescent="0.25">
      <c r="A17" s="7">
        <v>8</v>
      </c>
      <c r="B17" s="8" t="s">
        <v>18</v>
      </c>
      <c r="C17" s="8" t="s">
        <v>14</v>
      </c>
      <c r="D17" s="7">
        <v>2.4500000000000002</v>
      </c>
      <c r="E17" s="7">
        <v>10440.18</v>
      </c>
      <c r="F17" s="4"/>
    </row>
    <row r="18" spans="1:6" s="1" customFormat="1" ht="15.75" x14ac:dyDescent="0.25">
      <c r="A18" s="7">
        <v>9</v>
      </c>
      <c r="B18" s="8" t="s">
        <v>83</v>
      </c>
      <c r="C18" s="8" t="s">
        <v>15</v>
      </c>
      <c r="D18" s="7">
        <f>0.03</f>
        <v>0.03</v>
      </c>
      <c r="E18" s="7">
        <f>1210.12</f>
        <v>1210.1199999999999</v>
      </c>
      <c r="F18" s="4"/>
    </row>
    <row r="19" spans="1:6" s="1" customFormat="1" ht="31.5" x14ac:dyDescent="0.25">
      <c r="A19" s="7">
        <v>10</v>
      </c>
      <c r="B19" s="8" t="s">
        <v>84</v>
      </c>
      <c r="C19" s="8" t="s">
        <v>85</v>
      </c>
      <c r="D19" s="7">
        <f>0.3</f>
        <v>0.3</v>
      </c>
      <c r="E19" s="7">
        <f>5033.61</f>
        <v>5033.6099999999997</v>
      </c>
      <c r="F19" s="4"/>
    </row>
    <row r="20" spans="1:6" s="1" customFormat="1" ht="31.5" x14ac:dyDescent="0.25">
      <c r="A20" s="7">
        <v>11</v>
      </c>
      <c r="B20" s="8" t="s">
        <v>86</v>
      </c>
      <c r="C20" s="8" t="s">
        <v>15</v>
      </c>
      <c r="D20" s="7">
        <f>0.12</f>
        <v>0.12</v>
      </c>
      <c r="E20" s="7">
        <f>17456.98</f>
        <v>17456.98</v>
      </c>
      <c r="F20" s="4"/>
    </row>
    <row r="21" spans="1:6" s="1" customFormat="1" ht="31.5" x14ac:dyDescent="0.25">
      <c r="A21" s="7">
        <v>12</v>
      </c>
      <c r="B21" s="8" t="s">
        <v>87</v>
      </c>
      <c r="C21" s="8" t="s">
        <v>38</v>
      </c>
      <c r="D21" s="7">
        <f>0.6+0.2</f>
        <v>0.8</v>
      </c>
      <c r="E21" s="7">
        <f>6523.99+2174.66</f>
        <v>8698.65</v>
      </c>
      <c r="F21" s="4"/>
    </row>
    <row r="22" spans="1:6" s="1" customFormat="1" ht="31.5" x14ac:dyDescent="0.25">
      <c r="A22" s="7">
        <v>13</v>
      </c>
      <c r="B22" s="8" t="s">
        <v>19</v>
      </c>
      <c r="C22" s="8" t="s">
        <v>15</v>
      </c>
      <c r="D22" s="7">
        <f>0.05+0.02+0.01+0.02+0.02</f>
        <v>0.12000000000000001</v>
      </c>
      <c r="E22" s="7">
        <f>3158.96+1263.59+631.78+1289.83+1321.13</f>
        <v>7665.29</v>
      </c>
      <c r="F22" s="4"/>
    </row>
    <row r="23" spans="1:6" s="1" customFormat="1" ht="78.75" x14ac:dyDescent="0.25">
      <c r="A23" s="7">
        <v>14</v>
      </c>
      <c r="B23" s="8" t="s">
        <v>27</v>
      </c>
      <c r="C23" s="8" t="s">
        <v>28</v>
      </c>
      <c r="D23" s="7">
        <f>2.151</f>
        <v>2.1509999999999998</v>
      </c>
      <c r="E23" s="7">
        <f>3775.2+3775.2+3775.2+3876.89+3876.89+3989.87+3989.87+3989.87+3989.87+3989.87+3989.87</f>
        <v>43018.6</v>
      </c>
      <c r="F23" s="4"/>
    </row>
    <row r="24" spans="1:6" s="1" customFormat="1" ht="31.5" x14ac:dyDescent="0.25">
      <c r="A24" s="7">
        <v>15</v>
      </c>
      <c r="B24" s="8" t="s">
        <v>29</v>
      </c>
      <c r="C24" s="8" t="s">
        <v>30</v>
      </c>
      <c r="D24" s="7">
        <f>1.2</f>
        <v>1.2</v>
      </c>
      <c r="E24" s="7">
        <f>31591.66+31591.66+31591.66+32442.56+32442.56+33388.02+33388.02+33388.02+33388.02+33388.02+33388.02</f>
        <v>359988.22000000003</v>
      </c>
      <c r="F24" s="4"/>
    </row>
    <row r="25" spans="1:6" s="1" customFormat="1" ht="47.25" x14ac:dyDescent="0.25">
      <c r="A25" s="7">
        <v>16</v>
      </c>
      <c r="B25" s="8" t="s">
        <v>56</v>
      </c>
      <c r="C25" s="8" t="s">
        <v>14</v>
      </c>
      <c r="D25" s="7">
        <f>0.07+0.1+0.1+0.1+0.05+0.1+0.1</f>
        <v>0.62</v>
      </c>
      <c r="E25" s="7">
        <f>1024.46+1463.53+1497.9+1497.9+770.5+1541.05+1541.05</f>
        <v>9336.39</v>
      </c>
      <c r="F25" s="4"/>
    </row>
    <row r="26" spans="1:6" s="1" customFormat="1" ht="47.25" x14ac:dyDescent="0.25">
      <c r="A26" s="7">
        <v>17</v>
      </c>
      <c r="B26" s="8" t="s">
        <v>37</v>
      </c>
      <c r="C26" s="8" t="s">
        <v>14</v>
      </c>
      <c r="D26" s="7">
        <f>0.1+0.15+0.18+0.03+0.1+0.07+0.1+0.05</f>
        <v>0.77999999999999992</v>
      </c>
      <c r="E26" s="7">
        <f>4689.45+7034.17+8441.01+1444.36+4959.94+3471.98+4959.94+2479.98</f>
        <v>37480.83</v>
      </c>
      <c r="F26" s="4"/>
    </row>
    <row r="27" spans="1:6" s="1" customFormat="1" ht="31.5" x14ac:dyDescent="0.25">
      <c r="A27" s="7">
        <v>18</v>
      </c>
      <c r="B27" s="8" t="s">
        <v>64</v>
      </c>
      <c r="C27" s="8" t="s">
        <v>57</v>
      </c>
      <c r="D27" s="7">
        <f>0.2+0.05+0.5+0.08+0.1</f>
        <v>0.92999999999999994</v>
      </c>
      <c r="E27" s="7">
        <f>606.32+151.57+1515.81+248.81+319.83</f>
        <v>2842.3399999999997</v>
      </c>
      <c r="F27" s="4"/>
    </row>
    <row r="28" spans="1:6" s="1" customFormat="1" ht="31.5" x14ac:dyDescent="0.25">
      <c r="A28" s="7">
        <v>19</v>
      </c>
      <c r="B28" s="8" t="s">
        <v>63</v>
      </c>
      <c r="C28" s="8" t="s">
        <v>57</v>
      </c>
      <c r="D28" s="7">
        <f>0.01</f>
        <v>0.01</v>
      </c>
      <c r="E28" s="7">
        <f>632.79</f>
        <v>632.79</v>
      </c>
      <c r="F28" s="4"/>
    </row>
    <row r="29" spans="1:6" s="1" customFormat="1" ht="31.5" x14ac:dyDescent="0.25">
      <c r="A29" s="7">
        <v>20</v>
      </c>
      <c r="B29" s="8" t="s">
        <v>59</v>
      </c>
      <c r="C29" s="8" t="s">
        <v>60</v>
      </c>
      <c r="D29" s="7">
        <f>0.02</f>
        <v>0.02</v>
      </c>
      <c r="E29" s="7">
        <f>122.4</f>
        <v>122.4</v>
      </c>
      <c r="F29" s="4"/>
    </row>
    <row r="30" spans="1:6" s="1" customFormat="1" ht="47.25" x14ac:dyDescent="0.25">
      <c r="A30" s="7">
        <v>21</v>
      </c>
      <c r="B30" s="8" t="s">
        <v>61</v>
      </c>
      <c r="C30" s="8" t="s">
        <v>62</v>
      </c>
      <c r="D30" s="7">
        <f>0.001</f>
        <v>1E-3</v>
      </c>
      <c r="E30" s="7">
        <f>0.14</f>
        <v>0.14000000000000001</v>
      </c>
      <c r="F30" s="4"/>
    </row>
    <row r="31" spans="1:6" s="1" customFormat="1" ht="47.25" x14ac:dyDescent="0.25">
      <c r="A31" s="7">
        <v>22</v>
      </c>
      <c r="B31" s="8" t="s">
        <v>115</v>
      </c>
      <c r="C31" s="8" t="s">
        <v>116</v>
      </c>
      <c r="D31" s="7">
        <f>0.01</f>
        <v>0.01</v>
      </c>
      <c r="E31" s="7">
        <f>729.17</f>
        <v>729.17</v>
      </c>
      <c r="F31" s="4"/>
    </row>
    <row r="32" spans="1:6" s="1" customFormat="1" ht="31.5" x14ac:dyDescent="0.25">
      <c r="A32" s="7">
        <v>23</v>
      </c>
      <c r="B32" s="8" t="s">
        <v>65</v>
      </c>
      <c r="C32" s="8" t="s">
        <v>66</v>
      </c>
      <c r="D32" s="7">
        <f>0.03+0.01</f>
        <v>0.04</v>
      </c>
      <c r="E32" s="7">
        <f>1115+389.51</f>
        <v>1504.51</v>
      </c>
      <c r="F32" s="4"/>
    </row>
    <row r="33" spans="1:6" s="1" customFormat="1" ht="31.5" x14ac:dyDescent="0.25">
      <c r="A33" s="7">
        <v>24</v>
      </c>
      <c r="B33" s="8" t="s">
        <v>117</v>
      </c>
      <c r="C33" s="8" t="s">
        <v>66</v>
      </c>
      <c r="D33" s="7">
        <f>0.03+0.02</f>
        <v>0.05</v>
      </c>
      <c r="E33" s="7">
        <f>1115+568.43</f>
        <v>1683.4299999999998</v>
      </c>
      <c r="F33" s="4"/>
    </row>
    <row r="34" spans="1:6" s="1" customFormat="1" ht="31.5" x14ac:dyDescent="0.25">
      <c r="A34" s="7">
        <v>25</v>
      </c>
      <c r="B34" s="8" t="s">
        <v>118</v>
      </c>
      <c r="C34" s="8" t="s">
        <v>66</v>
      </c>
      <c r="D34" s="7">
        <f>0.05</f>
        <v>0.05</v>
      </c>
      <c r="E34" s="7">
        <f>990.39</f>
        <v>990.39</v>
      </c>
      <c r="F34" s="4"/>
    </row>
    <row r="35" spans="1:6" ht="15.75" x14ac:dyDescent="0.25">
      <c r="A35" s="7"/>
      <c r="B35" s="8"/>
      <c r="C35" s="8"/>
      <c r="D35" s="7"/>
      <c r="E35" s="9">
        <f>SUM(E10:E34)</f>
        <v>712086.73000000021</v>
      </c>
      <c r="F35" s="4"/>
    </row>
    <row r="36" spans="1:6" ht="15.75" x14ac:dyDescent="0.25">
      <c r="A36" s="7"/>
      <c r="B36" s="12" t="s">
        <v>13</v>
      </c>
      <c r="C36" s="8"/>
      <c r="D36" s="7"/>
      <c r="E36" s="7"/>
      <c r="F36" s="4"/>
    </row>
    <row r="37" spans="1:6" s="1" customFormat="1" ht="15.75" x14ac:dyDescent="0.25">
      <c r="A37" s="7">
        <v>1</v>
      </c>
      <c r="B37" s="8" t="s">
        <v>69</v>
      </c>
      <c r="C37" s="8" t="s">
        <v>45</v>
      </c>
      <c r="D37" s="7">
        <f>3+2+1</f>
        <v>6</v>
      </c>
      <c r="E37" s="7">
        <f>9113.36+6075.57+4851.66</f>
        <v>20040.59</v>
      </c>
      <c r="F37" s="4"/>
    </row>
    <row r="38" spans="1:6" s="1" customFormat="1" ht="15.75" x14ac:dyDescent="0.25">
      <c r="A38" s="7">
        <v>2</v>
      </c>
      <c r="B38" s="8" t="s">
        <v>58</v>
      </c>
      <c r="C38" s="8" t="s">
        <v>45</v>
      </c>
      <c r="D38" s="7">
        <v>2</v>
      </c>
      <c r="E38" s="7">
        <f>1200+30907.79+128939.36</f>
        <v>161047.15</v>
      </c>
      <c r="F38" s="4"/>
    </row>
    <row r="39" spans="1:6" s="1" customFormat="1" ht="15.75" x14ac:dyDescent="0.25">
      <c r="A39" s="7">
        <v>3</v>
      </c>
      <c r="B39" s="8" t="s">
        <v>74</v>
      </c>
      <c r="C39" s="8" t="s">
        <v>45</v>
      </c>
      <c r="D39" s="7">
        <f>1+1</f>
        <v>2</v>
      </c>
      <c r="E39" s="7">
        <f>18775.44+13320.62+69468.72</f>
        <v>101564.78</v>
      </c>
      <c r="F39" s="4"/>
    </row>
    <row r="40" spans="1:6" s="1" customFormat="1" ht="15.75" x14ac:dyDescent="0.25">
      <c r="A40" s="7">
        <v>4</v>
      </c>
      <c r="B40" s="8" t="s">
        <v>75</v>
      </c>
      <c r="C40" s="8" t="s">
        <v>76</v>
      </c>
      <c r="D40" s="7">
        <v>2.1999999999999999E-2</v>
      </c>
      <c r="E40" s="7">
        <f>1937.48+597.91+62.91</f>
        <v>2598.2999999999997</v>
      </c>
      <c r="F40" s="4"/>
    </row>
    <row r="41" spans="1:6" s="1" customFormat="1" ht="15.75" x14ac:dyDescent="0.25">
      <c r="A41" s="7">
        <v>5</v>
      </c>
      <c r="B41" s="8" t="s">
        <v>77</v>
      </c>
      <c r="C41" s="8" t="s">
        <v>45</v>
      </c>
      <c r="D41" s="7">
        <v>1</v>
      </c>
      <c r="E41" s="7">
        <f>57050.46</f>
        <v>57050.46</v>
      </c>
      <c r="F41" s="4"/>
    </row>
    <row r="42" spans="1:6" s="1" customFormat="1" ht="31.5" x14ac:dyDescent="0.25">
      <c r="A42" s="7">
        <v>6</v>
      </c>
      <c r="B42" s="8" t="s">
        <v>78</v>
      </c>
      <c r="C42" s="8" t="s">
        <v>45</v>
      </c>
      <c r="D42" s="7">
        <f>2</f>
        <v>2</v>
      </c>
      <c r="E42" s="7">
        <f>3312.38</f>
        <v>3312.38</v>
      </c>
      <c r="F42" s="4"/>
    </row>
    <row r="43" spans="1:6" s="1" customFormat="1" ht="31.5" x14ac:dyDescent="0.25">
      <c r="A43" s="7">
        <v>7</v>
      </c>
      <c r="B43" s="8" t="s">
        <v>79</v>
      </c>
      <c r="C43" s="8" t="s">
        <v>8</v>
      </c>
      <c r="D43" s="7">
        <v>1</v>
      </c>
      <c r="E43" s="7">
        <f>729.23</f>
        <v>729.23</v>
      </c>
      <c r="F43" s="4"/>
    </row>
    <row r="44" spans="1:6" s="1" customFormat="1" ht="31.5" x14ac:dyDescent="0.25">
      <c r="A44" s="7">
        <v>8</v>
      </c>
      <c r="B44" s="8" t="s">
        <v>80</v>
      </c>
      <c r="C44" s="8" t="s">
        <v>81</v>
      </c>
      <c r="D44" s="7">
        <v>1</v>
      </c>
      <c r="E44" s="7">
        <f>10881.94+8846.99</f>
        <v>19728.93</v>
      </c>
      <c r="F44" s="4"/>
    </row>
    <row r="45" spans="1:6" ht="31.5" x14ac:dyDescent="0.25">
      <c r="A45" s="7">
        <v>9</v>
      </c>
      <c r="B45" s="8" t="s">
        <v>90</v>
      </c>
      <c r="C45" s="8" t="s">
        <v>15</v>
      </c>
      <c r="D45" s="7">
        <f>0.03+0.11</f>
        <v>0.14000000000000001</v>
      </c>
      <c r="E45" s="7">
        <f>1664.34+5628.46+2830.75</f>
        <v>10123.549999999999</v>
      </c>
      <c r="F45" s="4"/>
    </row>
    <row r="46" spans="1:6" s="1" customFormat="1" ht="15.75" x14ac:dyDescent="0.25">
      <c r="A46" s="7">
        <v>10</v>
      </c>
      <c r="B46" s="8" t="s">
        <v>91</v>
      </c>
      <c r="C46" s="8" t="s">
        <v>15</v>
      </c>
      <c r="D46" s="7">
        <f>0.05</f>
        <v>0.05</v>
      </c>
      <c r="E46" s="7">
        <f>1190.52</f>
        <v>1190.52</v>
      </c>
      <c r="F46" s="4"/>
    </row>
    <row r="47" spans="1:6" s="1" customFormat="1" ht="47.25" x14ac:dyDescent="0.25">
      <c r="A47" s="7">
        <v>11</v>
      </c>
      <c r="B47" s="8" t="s">
        <v>99</v>
      </c>
      <c r="C47" s="8" t="s">
        <v>34</v>
      </c>
      <c r="D47" s="7">
        <f>0.18</f>
        <v>0.18</v>
      </c>
      <c r="E47" s="7">
        <f>24437.43</f>
        <v>24437.43</v>
      </c>
      <c r="F47" s="4"/>
    </row>
    <row r="48" spans="1:6" s="1" customFormat="1" ht="15.75" x14ac:dyDescent="0.25">
      <c r="A48" s="7">
        <v>12</v>
      </c>
      <c r="B48" s="8" t="s">
        <v>23</v>
      </c>
      <c r="C48" s="8" t="s">
        <v>25</v>
      </c>
      <c r="D48" s="7">
        <f>5</f>
        <v>5</v>
      </c>
      <c r="E48" s="7">
        <f>3772.42</f>
        <v>3772.42</v>
      </c>
      <c r="F48" s="4"/>
    </row>
    <row r="49" spans="1:6" s="1" customFormat="1" ht="15.75" x14ac:dyDescent="0.25">
      <c r="A49" s="7">
        <v>13</v>
      </c>
      <c r="B49" s="8" t="s">
        <v>24</v>
      </c>
      <c r="C49" s="8" t="s">
        <v>25</v>
      </c>
      <c r="D49" s="7">
        <f>6</f>
        <v>6</v>
      </c>
      <c r="E49" s="7">
        <f>4406.67</f>
        <v>4406.67</v>
      </c>
      <c r="F49" s="4"/>
    </row>
    <row r="50" spans="1:6" s="1" customFormat="1" ht="31.5" x14ac:dyDescent="0.25">
      <c r="A50" s="7">
        <v>14</v>
      </c>
      <c r="B50" s="8" t="s">
        <v>92</v>
      </c>
      <c r="C50" s="8" t="s">
        <v>39</v>
      </c>
      <c r="D50" s="7">
        <v>6</v>
      </c>
      <c r="E50" s="7">
        <f>18827.57</f>
        <v>18827.57</v>
      </c>
      <c r="F50" s="4"/>
    </row>
    <row r="51" spans="1:6" s="1" customFormat="1" ht="31.5" x14ac:dyDescent="0.25">
      <c r="A51" s="7">
        <v>15</v>
      </c>
      <c r="B51" s="8" t="s">
        <v>93</v>
      </c>
      <c r="C51" s="8" t="s">
        <v>39</v>
      </c>
      <c r="D51" s="7">
        <v>6</v>
      </c>
      <c r="E51" s="7">
        <f>19897.71</f>
        <v>19897.71</v>
      </c>
      <c r="F51" s="4"/>
    </row>
    <row r="52" spans="1:6" s="1" customFormat="1" ht="31.5" x14ac:dyDescent="0.25">
      <c r="A52" s="7">
        <v>16</v>
      </c>
      <c r="B52" s="8" t="s">
        <v>40</v>
      </c>
      <c r="C52" s="8" t="s">
        <v>41</v>
      </c>
      <c r="D52" s="7">
        <f>0.06</f>
        <v>0.06</v>
      </c>
      <c r="E52" s="7">
        <f>2088.12</f>
        <v>2088.12</v>
      </c>
      <c r="F52" s="4"/>
    </row>
    <row r="53" spans="1:6" s="1" customFormat="1" ht="31.5" x14ac:dyDescent="0.25">
      <c r="A53" s="7">
        <v>17</v>
      </c>
      <c r="B53" s="8" t="s">
        <v>89</v>
      </c>
      <c r="C53" s="8" t="s">
        <v>41</v>
      </c>
      <c r="D53" s="7">
        <f>0.01+0.04</f>
        <v>0.05</v>
      </c>
      <c r="E53" s="7">
        <f>609.41+2437.56</f>
        <v>3046.97</v>
      </c>
      <c r="F53" s="4"/>
    </row>
    <row r="54" spans="1:6" s="19" customFormat="1" ht="94.5" x14ac:dyDescent="0.25">
      <c r="A54" s="7">
        <v>18</v>
      </c>
      <c r="B54" s="17" t="s">
        <v>67</v>
      </c>
      <c r="C54" s="17" t="s">
        <v>68</v>
      </c>
      <c r="D54" s="16">
        <f>0.01+0.01+0.02</f>
        <v>0.04</v>
      </c>
      <c r="E54" s="16">
        <f>626.01+626.01+1261.75</f>
        <v>2513.77</v>
      </c>
      <c r="F54" s="18"/>
    </row>
    <row r="55" spans="1:6" s="19" customFormat="1" ht="47.25" x14ac:dyDescent="0.25">
      <c r="A55" s="7">
        <v>19</v>
      </c>
      <c r="B55" s="17" t="s">
        <v>72</v>
      </c>
      <c r="C55" s="17" t="s">
        <v>73</v>
      </c>
      <c r="D55" s="16">
        <v>6.0000000000000001E-3</v>
      </c>
      <c r="E55" s="16">
        <f>4286.46</f>
        <v>4286.46</v>
      </c>
      <c r="F55" s="18"/>
    </row>
    <row r="56" spans="1:6" s="1" customFormat="1" ht="15.75" x14ac:dyDescent="0.25">
      <c r="A56" s="7">
        <v>20</v>
      </c>
      <c r="B56" s="8" t="s">
        <v>121</v>
      </c>
      <c r="C56" s="8" t="s">
        <v>15</v>
      </c>
      <c r="D56" s="7">
        <f>0.01</f>
        <v>0.01</v>
      </c>
      <c r="E56" s="7">
        <f>786.38</f>
        <v>786.38</v>
      </c>
      <c r="F56" s="4"/>
    </row>
    <row r="57" spans="1:6" s="1" customFormat="1" ht="47.25" x14ac:dyDescent="0.25">
      <c r="A57" s="7">
        <v>21</v>
      </c>
      <c r="B57" s="8" t="s">
        <v>122</v>
      </c>
      <c r="C57" s="8" t="s">
        <v>123</v>
      </c>
      <c r="D57" s="7">
        <f>0.015</f>
        <v>1.4999999999999999E-2</v>
      </c>
      <c r="E57" s="7">
        <f>225.36</f>
        <v>225.36</v>
      </c>
      <c r="F57" s="4"/>
    </row>
    <row r="58" spans="1:6" s="19" customFormat="1" ht="47.25" x14ac:dyDescent="0.25">
      <c r="A58" s="7">
        <v>22</v>
      </c>
      <c r="B58" s="17" t="s">
        <v>124</v>
      </c>
      <c r="C58" s="17" t="s">
        <v>125</v>
      </c>
      <c r="D58" s="16">
        <v>0.03</v>
      </c>
      <c r="E58" s="16">
        <f>5961.09</f>
        <v>5961.09</v>
      </c>
      <c r="F58" s="18"/>
    </row>
    <row r="59" spans="1:6" s="1" customFormat="1" ht="31.5" x14ac:dyDescent="0.25">
      <c r="A59" s="7">
        <v>23</v>
      </c>
      <c r="B59" s="8" t="s">
        <v>46</v>
      </c>
      <c r="C59" s="8" t="s">
        <v>47</v>
      </c>
      <c r="D59" s="7">
        <f>14.95+14.95</f>
        <v>29.9</v>
      </c>
      <c r="E59" s="7">
        <f>69758.35+69759.35</f>
        <v>139517.70000000001</v>
      </c>
      <c r="F59" s="4"/>
    </row>
    <row r="60" spans="1:6" s="1" customFormat="1" ht="78.75" x14ac:dyDescent="0.25">
      <c r="A60" s="7">
        <v>24</v>
      </c>
      <c r="B60" s="8" t="s">
        <v>48</v>
      </c>
      <c r="C60" s="8" t="s">
        <v>16</v>
      </c>
      <c r="D60" s="7">
        <f>14.95+14.95</f>
        <v>29.9</v>
      </c>
      <c r="E60" s="7">
        <f>411459.51+411459.51</f>
        <v>822919.02</v>
      </c>
      <c r="F60" s="4"/>
    </row>
    <row r="61" spans="1:6" s="1" customFormat="1" ht="31.5" x14ac:dyDescent="0.25">
      <c r="A61" s="7">
        <v>25</v>
      </c>
      <c r="B61" s="8" t="s">
        <v>49</v>
      </c>
      <c r="C61" s="8" t="s">
        <v>47</v>
      </c>
      <c r="D61" s="7">
        <f>7.96+7.96</f>
        <v>15.92</v>
      </c>
      <c r="E61" s="7">
        <f>44207.56+44207.56</f>
        <v>88415.12</v>
      </c>
      <c r="F61" s="4"/>
    </row>
    <row r="62" spans="1:6" s="1" customFormat="1" ht="78.75" x14ac:dyDescent="0.25">
      <c r="A62" s="7">
        <v>26</v>
      </c>
      <c r="B62" s="8" t="s">
        <v>50</v>
      </c>
      <c r="C62" s="8" t="s">
        <v>16</v>
      </c>
      <c r="D62" s="7">
        <f>7.96+7.96</f>
        <v>15.92</v>
      </c>
      <c r="E62" s="7">
        <f>126594.36+126594.36</f>
        <v>253188.72</v>
      </c>
      <c r="F62" s="4"/>
    </row>
    <row r="63" spans="1:6" s="1" customFormat="1" ht="78.75" x14ac:dyDescent="0.25">
      <c r="A63" s="7">
        <v>27</v>
      </c>
      <c r="B63" s="15" t="s">
        <v>51</v>
      </c>
      <c r="C63" s="8" t="s">
        <v>16</v>
      </c>
      <c r="D63" s="7">
        <f>2.866+2.866</f>
        <v>5.7320000000000002</v>
      </c>
      <c r="E63" s="7">
        <f>46838.67+46838.67</f>
        <v>93677.34</v>
      </c>
      <c r="F63" s="4"/>
    </row>
    <row r="64" spans="1:6" s="1" customFormat="1" ht="94.5" x14ac:dyDescent="0.25">
      <c r="A64" s="7">
        <v>28</v>
      </c>
      <c r="B64" s="15" t="s">
        <v>113</v>
      </c>
      <c r="C64" s="8" t="s">
        <v>16</v>
      </c>
      <c r="D64" s="7">
        <f>1.18+1.18</f>
        <v>2.36</v>
      </c>
      <c r="E64" s="7">
        <f>40554.95+40554.95</f>
        <v>81109.899999999994</v>
      </c>
      <c r="F64" s="4"/>
    </row>
    <row r="65" spans="1:6" s="1" customFormat="1" ht="78.75" x14ac:dyDescent="0.25">
      <c r="A65" s="7">
        <v>29</v>
      </c>
      <c r="B65" s="15" t="s">
        <v>114</v>
      </c>
      <c r="C65" s="8" t="s">
        <v>16</v>
      </c>
      <c r="D65" s="7">
        <f>0.55+0.55</f>
        <v>1.1000000000000001</v>
      </c>
      <c r="E65" s="7">
        <f>9770.01+9770.01</f>
        <v>19540.02</v>
      </c>
      <c r="F65" s="4"/>
    </row>
    <row r="66" spans="1:6" s="1" customFormat="1" ht="78.75" x14ac:dyDescent="0.25">
      <c r="A66" s="7">
        <v>30</v>
      </c>
      <c r="B66" s="8" t="s">
        <v>120</v>
      </c>
      <c r="C66" s="8" t="s">
        <v>16</v>
      </c>
      <c r="D66" s="7">
        <f>0.03+0.03</f>
        <v>0.06</v>
      </c>
      <c r="E66" s="7">
        <f>900.82+900.82</f>
        <v>1801.64</v>
      </c>
      <c r="F66" s="4"/>
    </row>
    <row r="67" spans="1:6" s="1" customFormat="1" ht="78.75" x14ac:dyDescent="0.25">
      <c r="A67" s="7">
        <v>31</v>
      </c>
      <c r="B67" s="8" t="s">
        <v>52</v>
      </c>
      <c r="C67" s="8" t="s">
        <v>16</v>
      </c>
      <c r="D67" s="7">
        <f>1.2+1.227</f>
        <v>2.427</v>
      </c>
      <c r="E67" s="7">
        <f>24735.87+25292.42</f>
        <v>50028.289999999994</v>
      </c>
      <c r="F67" s="4"/>
    </row>
    <row r="68" spans="1:6" ht="78.75" x14ac:dyDescent="0.25">
      <c r="A68" s="7">
        <v>32</v>
      </c>
      <c r="B68" s="8" t="s">
        <v>53</v>
      </c>
      <c r="C68" s="8" t="s">
        <v>16</v>
      </c>
      <c r="D68" s="7">
        <f>0.01+0.421+0.897+0.065+0.065</f>
        <v>1.458</v>
      </c>
      <c r="E68" s="7">
        <f>40.15+14217.64+30292.69+2195.11+2195.11</f>
        <v>48940.7</v>
      </c>
      <c r="F68" s="4"/>
    </row>
    <row r="69" spans="1:6" s="1" customFormat="1" ht="63" x14ac:dyDescent="0.25">
      <c r="A69" s="7">
        <v>33</v>
      </c>
      <c r="B69" s="8" t="s">
        <v>107</v>
      </c>
      <c r="C69" s="8" t="s">
        <v>106</v>
      </c>
      <c r="D69" s="7">
        <f>0.5</f>
        <v>0.5</v>
      </c>
      <c r="E69" s="7">
        <f>46845.47</f>
        <v>46845.47</v>
      </c>
      <c r="F69" s="4"/>
    </row>
    <row r="70" spans="1:6" s="1" customFormat="1" ht="31.5" x14ac:dyDescent="0.25">
      <c r="A70" s="7">
        <v>34</v>
      </c>
      <c r="B70" s="8" t="s">
        <v>46</v>
      </c>
      <c r="C70" s="8" t="s">
        <v>47</v>
      </c>
      <c r="D70" s="7">
        <f>0.5+0.5</f>
        <v>1</v>
      </c>
      <c r="E70" s="7">
        <f>2654.85+2654.85</f>
        <v>5309.7</v>
      </c>
      <c r="F70" s="4"/>
    </row>
    <row r="71" spans="1:6" s="1" customFormat="1" ht="31.5" x14ac:dyDescent="0.25">
      <c r="A71" s="7">
        <v>35</v>
      </c>
      <c r="B71" s="8" t="s">
        <v>110</v>
      </c>
      <c r="C71" s="8" t="s">
        <v>47</v>
      </c>
      <c r="D71" s="7">
        <v>3.5</v>
      </c>
      <c r="E71" s="7">
        <f>35697.81</f>
        <v>35697.81</v>
      </c>
      <c r="F71" s="4"/>
    </row>
    <row r="72" spans="1:6" s="1" customFormat="1" ht="78.75" x14ac:dyDescent="0.25">
      <c r="A72" s="7">
        <v>36</v>
      </c>
      <c r="B72" s="8" t="s">
        <v>111</v>
      </c>
      <c r="C72" s="8" t="s">
        <v>112</v>
      </c>
      <c r="D72" s="7">
        <f>3.5</f>
        <v>3.5</v>
      </c>
      <c r="E72" s="7">
        <f>13954.66</f>
        <v>13954.66</v>
      </c>
      <c r="F72" s="4"/>
    </row>
    <row r="73" spans="1:6" s="1" customFormat="1" ht="78.75" x14ac:dyDescent="0.25">
      <c r="A73" s="7">
        <v>37</v>
      </c>
      <c r="B73" s="8" t="s">
        <v>109</v>
      </c>
      <c r="C73" s="8" t="s">
        <v>16</v>
      </c>
      <c r="D73" s="7">
        <f>3.5+3.5</f>
        <v>7</v>
      </c>
      <c r="E73" s="7">
        <f>85493.4+85932.81</f>
        <v>171426.21</v>
      </c>
      <c r="F73" s="4"/>
    </row>
    <row r="74" spans="1:6" s="1" customFormat="1" ht="78.75" x14ac:dyDescent="0.25">
      <c r="A74" s="7">
        <v>38</v>
      </c>
      <c r="B74" s="8" t="s">
        <v>108</v>
      </c>
      <c r="C74" s="8" t="s">
        <v>16</v>
      </c>
      <c r="D74" s="7">
        <f>0.67+0.67</f>
        <v>1.34</v>
      </c>
      <c r="E74" s="7">
        <f>20692.46+13810.86</f>
        <v>34503.32</v>
      </c>
      <c r="F74" s="4"/>
    </row>
    <row r="75" spans="1:6" s="1" customFormat="1" ht="31.5" x14ac:dyDescent="0.25">
      <c r="A75" s="7">
        <v>39</v>
      </c>
      <c r="B75" s="8" t="s">
        <v>101</v>
      </c>
      <c r="C75" s="8" t="s">
        <v>102</v>
      </c>
      <c r="D75" s="7">
        <f>0.1</f>
        <v>0.1</v>
      </c>
      <c r="E75" s="7">
        <v>6862.6</v>
      </c>
      <c r="F75" s="4"/>
    </row>
    <row r="76" spans="1:6" s="1" customFormat="1" ht="47.25" x14ac:dyDescent="0.25">
      <c r="A76" s="7">
        <v>40</v>
      </c>
      <c r="B76" s="8" t="s">
        <v>103</v>
      </c>
      <c r="C76" s="8" t="s">
        <v>47</v>
      </c>
      <c r="D76" s="7">
        <f>0.3+0.5</f>
        <v>0.8</v>
      </c>
      <c r="E76" s="7">
        <f>16054.68+31004.35</f>
        <v>47059.03</v>
      </c>
      <c r="F76" s="4"/>
    </row>
    <row r="77" spans="1:6" s="1" customFormat="1" ht="47.25" x14ac:dyDescent="0.25">
      <c r="A77" s="7">
        <v>41</v>
      </c>
      <c r="B77" s="8" t="s">
        <v>119</v>
      </c>
      <c r="C77" s="8" t="s">
        <v>47</v>
      </c>
      <c r="D77" s="7">
        <v>0.03</v>
      </c>
      <c r="E77" s="7">
        <f>1340.65</f>
        <v>1340.65</v>
      </c>
      <c r="F77" s="4"/>
    </row>
    <row r="78" spans="1:6" s="1" customFormat="1" ht="47.25" x14ac:dyDescent="0.25">
      <c r="A78" s="7">
        <v>42</v>
      </c>
      <c r="B78" s="8" t="s">
        <v>104</v>
      </c>
      <c r="C78" s="8" t="s">
        <v>105</v>
      </c>
      <c r="D78" s="7">
        <f>0.08</f>
        <v>0.08</v>
      </c>
      <c r="E78" s="7">
        <f>3779.96</f>
        <v>3779.96</v>
      </c>
      <c r="F78" s="4"/>
    </row>
    <row r="79" spans="1:6" s="1" customFormat="1" ht="31.5" x14ac:dyDescent="0.25">
      <c r="A79" s="7">
        <v>43</v>
      </c>
      <c r="B79" s="8" t="s">
        <v>33</v>
      </c>
      <c r="C79" s="8" t="s">
        <v>15</v>
      </c>
      <c r="D79" s="7">
        <f>0.06+0.02+0.02+0.01+0.01</f>
        <v>0.12</v>
      </c>
      <c r="E79" s="7">
        <f>3712.11+1237.38+1263.19+631.6+631.6</f>
        <v>7475.880000000001</v>
      </c>
      <c r="F79" s="4"/>
    </row>
    <row r="80" spans="1:6" s="1" customFormat="1" ht="63" x14ac:dyDescent="0.25">
      <c r="A80" s="7">
        <v>44</v>
      </c>
      <c r="B80" s="8" t="s">
        <v>82</v>
      </c>
      <c r="C80" s="8" t="s">
        <v>45</v>
      </c>
      <c r="D80" s="7">
        <v>2</v>
      </c>
      <c r="E80" s="7">
        <f>2926.55+5109.1</f>
        <v>8035.6500000000005</v>
      </c>
      <c r="F80" s="4"/>
    </row>
    <row r="81" spans="1:7" s="1" customFormat="1" ht="47.25" x14ac:dyDescent="0.25">
      <c r="A81" s="7">
        <v>45</v>
      </c>
      <c r="B81" s="8" t="s">
        <v>35</v>
      </c>
      <c r="C81" s="8" t="s">
        <v>36</v>
      </c>
      <c r="D81" s="7">
        <v>30</v>
      </c>
      <c r="E81" s="7">
        <f>26328.3+211.23</f>
        <v>26539.53</v>
      </c>
      <c r="F81" s="4"/>
    </row>
    <row r="82" spans="1:7" s="1" customFormat="1" ht="31.5" x14ac:dyDescent="0.25">
      <c r="A82" s="7">
        <v>46</v>
      </c>
      <c r="B82" s="8" t="s">
        <v>70</v>
      </c>
      <c r="C82" s="8" t="s">
        <v>71</v>
      </c>
      <c r="D82" s="7">
        <v>8.0000000000000002E-3</v>
      </c>
      <c r="E82" s="7">
        <f>368.39</f>
        <v>368.39</v>
      </c>
      <c r="F82" s="4"/>
    </row>
    <row r="83" spans="1:7" s="1" customFormat="1" ht="31.5" x14ac:dyDescent="0.25">
      <c r="A83" s="7">
        <v>47</v>
      </c>
      <c r="B83" s="8" t="s">
        <v>94</v>
      </c>
      <c r="C83" s="8" t="s">
        <v>95</v>
      </c>
      <c r="D83" s="7">
        <f>0.12</f>
        <v>0.12</v>
      </c>
      <c r="E83" s="7">
        <f>11324.1</f>
        <v>11324.1</v>
      </c>
      <c r="F83" s="4"/>
    </row>
    <row r="84" spans="1:7" s="1" customFormat="1" ht="47.25" x14ac:dyDescent="0.25">
      <c r="A84" s="7">
        <v>48</v>
      </c>
      <c r="B84" s="8" t="s">
        <v>96</v>
      </c>
      <c r="C84" s="8" t="s">
        <v>97</v>
      </c>
      <c r="D84" s="7">
        <v>8.0000000000000002E-3</v>
      </c>
      <c r="E84" s="7">
        <f>3449.92</f>
        <v>3449.92</v>
      </c>
      <c r="F84" s="4"/>
    </row>
    <row r="85" spans="1:7" s="1" customFormat="1" ht="15.75" x14ac:dyDescent="0.25">
      <c r="A85" s="7">
        <v>49</v>
      </c>
      <c r="B85" s="8" t="s">
        <v>100</v>
      </c>
      <c r="C85" s="8" t="s">
        <v>45</v>
      </c>
      <c r="D85" s="7">
        <v>1</v>
      </c>
      <c r="E85" s="7">
        <f>33000</f>
        <v>33000</v>
      </c>
      <c r="F85" s="4"/>
    </row>
    <row r="86" spans="1:7" s="1" customFormat="1" ht="15.75" x14ac:dyDescent="0.25">
      <c r="A86" s="7">
        <v>50</v>
      </c>
      <c r="B86" s="8" t="s">
        <v>42</v>
      </c>
      <c r="C86" s="8" t="s">
        <v>43</v>
      </c>
      <c r="D86" s="7">
        <v>1</v>
      </c>
      <c r="E86" s="7">
        <f>1482.05</f>
        <v>1482.05</v>
      </c>
      <c r="F86" s="4"/>
    </row>
    <row r="87" spans="1:7" s="1" customFormat="1" ht="31.5" x14ac:dyDescent="0.25">
      <c r="A87" s="7">
        <v>51</v>
      </c>
      <c r="B87" s="8" t="s">
        <v>127</v>
      </c>
      <c r="C87" s="8" t="s">
        <v>128</v>
      </c>
      <c r="D87" s="7">
        <v>3</v>
      </c>
      <c r="E87" s="7">
        <f>2625</f>
        <v>2625</v>
      </c>
      <c r="F87" s="4"/>
    </row>
    <row r="88" spans="1:7" s="1" customFormat="1" ht="15.75" x14ac:dyDescent="0.25">
      <c r="A88" s="7"/>
      <c r="B88" s="8"/>
      <c r="C88" s="8"/>
      <c r="D88" s="7"/>
      <c r="E88" s="13">
        <f>SUM(E37:E87)</f>
        <v>2527854.2199999997</v>
      </c>
      <c r="F88" s="4"/>
    </row>
    <row r="89" spans="1:7" ht="15.75" x14ac:dyDescent="0.25">
      <c r="A89" s="7"/>
      <c r="B89" s="8" t="s">
        <v>11</v>
      </c>
      <c r="C89" s="7"/>
      <c r="D89" s="7"/>
      <c r="E89" s="9">
        <f>E35+E88</f>
        <v>3239940.95</v>
      </c>
      <c r="F89" s="4"/>
    </row>
    <row r="90" spans="1:7" ht="15.75" x14ac:dyDescent="0.25">
      <c r="A90" s="7"/>
      <c r="B90" s="8"/>
      <c r="C90" s="7"/>
      <c r="D90" s="7"/>
      <c r="E90" s="7"/>
      <c r="F90" s="4"/>
    </row>
    <row r="91" spans="1:7" ht="15.75" x14ac:dyDescent="0.25">
      <c r="A91" s="10"/>
      <c r="B91" s="10"/>
      <c r="C91" s="10"/>
      <c r="D91" s="10"/>
      <c r="E91" s="10"/>
      <c r="F91" s="4"/>
    </row>
    <row r="92" spans="1:7" ht="15.75" x14ac:dyDescent="0.25">
      <c r="A92" s="10"/>
      <c r="B92" s="10" t="s">
        <v>20</v>
      </c>
      <c r="C92" s="10" t="s">
        <v>21</v>
      </c>
      <c r="D92" s="10"/>
      <c r="E92" s="10"/>
      <c r="F92" s="1"/>
    </row>
    <row r="93" spans="1:7" x14ac:dyDescent="0.25">
      <c r="A93" s="2"/>
      <c r="B93" s="2"/>
      <c r="C93" s="2"/>
      <c r="D93" s="2"/>
      <c r="E93" s="2"/>
      <c r="F93" s="1"/>
    </row>
    <row r="94" spans="1:7" x14ac:dyDescent="0.25">
      <c r="A94" s="2"/>
      <c r="B94" s="2"/>
      <c r="C94" s="2"/>
      <c r="D94" s="2"/>
      <c r="E94" s="2"/>
      <c r="F94" s="1"/>
    </row>
    <row r="95" spans="1:7" x14ac:dyDescent="0.25">
      <c r="A95" s="2"/>
      <c r="B95" s="2" t="s">
        <v>22</v>
      </c>
      <c r="C95" s="2"/>
      <c r="D95" s="2"/>
      <c r="E95" s="2"/>
      <c r="F95" s="1"/>
    </row>
    <row r="96" spans="1:7" x14ac:dyDescent="0.25">
      <c r="A96" s="2"/>
      <c r="B96" s="2"/>
      <c r="C96" s="2"/>
      <c r="D96" s="2"/>
      <c r="E96" s="2"/>
      <c r="F96" s="14"/>
      <c r="G96" s="14"/>
    </row>
    <row r="97" spans="1:7" x14ac:dyDescent="0.25">
      <c r="A97" s="2"/>
      <c r="B97" s="2"/>
      <c r="C97" s="2"/>
      <c r="D97" s="2"/>
      <c r="E97" s="2"/>
      <c r="F97" s="14"/>
      <c r="G97" s="14"/>
    </row>
    <row r="98" spans="1:7" x14ac:dyDescent="0.25">
      <c r="A98" s="2"/>
      <c r="B98" s="2"/>
      <c r="C98" s="2"/>
      <c r="D98" s="2"/>
      <c r="E98" s="2"/>
      <c r="F98" s="14"/>
    </row>
    <row r="99" spans="1:7" x14ac:dyDescent="0.25">
      <c r="A99" s="2"/>
      <c r="B99" s="2"/>
      <c r="C99" s="2"/>
      <c r="D99" s="2"/>
      <c r="E99" s="20"/>
    </row>
    <row r="100" spans="1:7" x14ac:dyDescent="0.25">
      <c r="A100" s="2"/>
      <c r="B100" s="2"/>
      <c r="C100" s="2"/>
      <c r="D100" s="2"/>
      <c r="E100" s="2"/>
    </row>
    <row r="101" spans="1:7" x14ac:dyDescent="0.25">
      <c r="A101" s="2"/>
      <c r="B101" s="2"/>
      <c r="C101" s="2"/>
      <c r="D101" s="2"/>
      <c r="E101" s="2"/>
      <c r="F101" t="s">
        <v>126</v>
      </c>
    </row>
    <row r="102" spans="1:7" x14ac:dyDescent="0.25">
      <c r="A102" s="2"/>
      <c r="B102" s="2"/>
      <c r="C102" s="2"/>
      <c r="D102" s="2"/>
      <c r="E102" s="2"/>
    </row>
    <row r="103" spans="1:7" x14ac:dyDescent="0.25">
      <c r="A103" s="2"/>
      <c r="B103" s="2"/>
      <c r="C103" s="2"/>
      <c r="D103" s="2"/>
      <c r="E103" s="2"/>
    </row>
    <row r="104" spans="1:7" x14ac:dyDescent="0.25">
      <c r="A104" s="2"/>
      <c r="B104" s="2"/>
      <c r="C104" s="2"/>
      <c r="D104" s="2"/>
      <c r="E104" s="2"/>
    </row>
    <row r="105" spans="1:7" x14ac:dyDescent="0.25">
      <c r="A105" s="2"/>
      <c r="B105" s="2"/>
      <c r="C105" s="2"/>
      <c r="D105" s="2"/>
      <c r="E105" s="2"/>
    </row>
    <row r="106" spans="1:7" x14ac:dyDescent="0.25">
      <c r="A106" s="2"/>
      <c r="B106" s="2"/>
      <c r="C106" s="2"/>
      <c r="D106" s="2"/>
      <c r="E106" s="2"/>
    </row>
    <row r="107" spans="1:7" x14ac:dyDescent="0.25">
      <c r="A107" s="2"/>
      <c r="B107" s="2"/>
      <c r="C107" s="2"/>
      <c r="D107" s="2"/>
      <c r="E107" s="2"/>
    </row>
    <row r="108" spans="1:7" x14ac:dyDescent="0.25">
      <c r="A108" s="2"/>
      <c r="B108" s="2"/>
      <c r="C108" s="2"/>
      <c r="D108" s="2"/>
      <c r="E108" s="2"/>
    </row>
    <row r="109" spans="1:7" x14ac:dyDescent="0.25">
      <c r="A109" s="2"/>
      <c r="B109" s="2"/>
      <c r="C109" s="2"/>
      <c r="D109" s="2"/>
      <c r="E109" s="2"/>
    </row>
    <row r="110" spans="1:7" x14ac:dyDescent="0.25">
      <c r="A110" s="2"/>
      <c r="B110" s="2"/>
      <c r="C110" s="2"/>
      <c r="D110" s="2"/>
      <c r="E110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2018-02-01T12:28:24Z</cp:lastPrinted>
  <dcterms:created xsi:type="dcterms:W3CDTF">2016-09-29T06:37:31Z</dcterms:created>
  <dcterms:modified xsi:type="dcterms:W3CDTF">2018-02-01T12:30:01Z</dcterms:modified>
</cp:coreProperties>
</file>